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ppt" ContentType="application/vnd.ms-powerpoin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zbfnwf\Downloads\"/>
    </mc:Choice>
  </mc:AlternateContent>
  <xr:revisionPtr revIDLastSave="0" documentId="13_ncr:1_{1B6C1A6C-49A7-4F01-8FF0-712EF75F1960}" xr6:coauthVersionLast="47" xr6:coauthVersionMax="47" xr10:uidLastSave="{00000000-0000-0000-0000-000000000000}"/>
  <bookViews>
    <workbookView xWindow="-120" yWindow="-120" windowWidth="29040" windowHeight="17520" tabRatio="627" activeTab="1" xr2:uid="{E66EA49E-4F3E-4C66-8BE9-F98C5F12B030}"/>
  </bookViews>
  <sheets>
    <sheet name="Intro" sheetId="7" r:id="rId1"/>
    <sheet name="Calculations" sheetId="1" r:id="rId2"/>
    <sheet name="MOSFETs" sheetId="5" r:id="rId3"/>
    <sheet name="Compensation II (PI)" sheetId="3" r:id="rId4"/>
    <sheet name="Compensation III (PID) Method I" sheetId="4" r:id="rId5"/>
    <sheet name="Compensation III (PID) Metod II" sheetId="2" r:id="rId6"/>
    <sheet name="Linear VCC regulator" sheetId="6" r:id="rId7"/>
  </sheets>
  <externalReferences>
    <externalReference r:id="rId8"/>
  </externalReferences>
  <definedNames>
    <definedName name="FET">MOSFETs!$C$1:$AA$1</definedName>
    <definedName name="_xlnm.Print_Area" localSheetId="1">Calculations!$A$1:$M$240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67" i="1"/>
  <c r="D48" i="1"/>
  <c r="B7" i="6"/>
  <c r="B6" i="6"/>
  <c r="B42" i="1"/>
  <c r="H1" i="4" s="1"/>
  <c r="AB29" i="1"/>
  <c r="D36" i="1"/>
  <c r="D34" i="1"/>
  <c r="D32" i="1"/>
  <c r="B115" i="1"/>
  <c r="B194" i="1"/>
  <c r="B192" i="1"/>
  <c r="B8" i="6"/>
  <c r="D6" i="6"/>
  <c r="E2" i="3"/>
  <c r="H1" i="3"/>
  <c r="B27" i="3" s="1"/>
  <c r="B26" i="3" s="1"/>
  <c r="E3" i="3"/>
  <c r="B14" i="3"/>
  <c r="B13" i="3" s="1"/>
  <c r="E2" i="4"/>
  <c r="E3" i="4"/>
  <c r="E2" i="2"/>
  <c r="B12" i="2" s="1"/>
  <c r="B11" i="2" s="1"/>
  <c r="E3" i="2"/>
  <c r="B1" i="2"/>
  <c r="H3" i="2"/>
  <c r="D179" i="1"/>
  <c r="L14" i="1"/>
  <c r="D41" i="1"/>
  <c r="B1" i="3"/>
  <c r="B2" i="3"/>
  <c r="B40" i="3" s="1"/>
  <c r="B43" i="3" s="1"/>
  <c r="B42" i="3" s="1"/>
  <c r="B238" i="1"/>
  <c r="D35" i="1"/>
  <c r="B116" i="1"/>
  <c r="B117" i="1"/>
  <c r="B2" i="2"/>
  <c r="B1" i="4"/>
  <c r="B2" i="4"/>
  <c r="L19" i="1"/>
  <c r="L18" i="1"/>
  <c r="B184" i="1"/>
  <c r="B182" i="1"/>
  <c r="B180" i="1"/>
  <c r="L13" i="1"/>
  <c r="B127" i="1"/>
  <c r="L10" i="1" s="1"/>
  <c r="B165" i="1"/>
  <c r="L11" i="1"/>
  <c r="L9" i="1"/>
  <c r="L7" i="1"/>
  <c r="B36" i="4"/>
  <c r="D37" i="4" s="1"/>
  <c r="B38" i="2"/>
  <c r="D39" i="2" s="1"/>
  <c r="B58" i="2"/>
  <c r="B56" i="4"/>
  <c r="B48" i="3"/>
  <c r="H3" i="4"/>
  <c r="H3" i="3"/>
  <c r="L8" i="1"/>
  <c r="B128" i="1"/>
  <c r="B158" i="1"/>
  <c r="B150" i="1"/>
  <c r="B153" i="1"/>
  <c r="B152" i="1" s="1"/>
  <c r="D114" i="1"/>
  <c r="B136" i="1"/>
  <c r="B134" i="1"/>
  <c r="B138" i="1" s="1"/>
  <c r="B137" i="1" s="1"/>
  <c r="B71" i="1"/>
  <c r="B70" i="1"/>
  <c r="B68" i="1"/>
  <c r="B72" i="1"/>
  <c r="B77" i="1"/>
  <c r="B62" i="1"/>
  <c r="AB30" i="1"/>
  <c r="B79" i="1"/>
  <c r="B58" i="1"/>
  <c r="B63" i="1"/>
  <c r="B69" i="1"/>
  <c r="B74" i="1"/>
  <c r="B78" i="1"/>
  <c r="B60" i="1"/>
  <c r="B65" i="1"/>
  <c r="B73" i="1"/>
  <c r="B76" i="1"/>
  <c r="B64" i="1"/>
  <c r="B67" i="1"/>
  <c r="B12" i="4" l="1"/>
  <c r="D7" i="6"/>
  <c r="B96" i="1"/>
  <c r="B98" i="1" s="1"/>
  <c r="B103" i="1"/>
  <c r="B105" i="1" s="1"/>
  <c r="B89" i="1"/>
  <c r="B91" i="1" s="1"/>
  <c r="D80" i="1"/>
  <c r="E73" i="1" s="1"/>
  <c r="B218" i="1"/>
  <c r="B215" i="1"/>
  <c r="B207" i="1"/>
  <c r="D66" i="1"/>
  <c r="B210" i="1"/>
  <c r="B195" i="1"/>
  <c r="B11" i="4"/>
  <c r="B29" i="4"/>
  <c r="B28" i="4" s="1"/>
  <c r="B16" i="4"/>
  <c r="B31" i="4"/>
  <c r="B13" i="6"/>
  <c r="B28" i="6" s="1"/>
  <c r="A30" i="6" s="1"/>
  <c r="B145" i="1"/>
  <c r="B16" i="3"/>
  <c r="H1" i="2"/>
  <c r="D8" i="6"/>
  <c r="B80" i="1"/>
  <c r="AB33" i="1"/>
  <c r="B48" i="1"/>
  <c r="B55" i="1"/>
  <c r="AB34" i="1"/>
  <c r="B52" i="1"/>
  <c r="B49" i="1"/>
  <c r="B50" i="1"/>
  <c r="AB35" i="1"/>
  <c r="B75" i="1"/>
  <c r="B51" i="1"/>
  <c r="B53" i="1"/>
  <c r="B57" i="1"/>
  <c r="B61" i="1"/>
  <c r="B56" i="1"/>
  <c r="B59" i="1"/>
  <c r="B54" i="1"/>
  <c r="B204" i="1" l="1"/>
  <c r="E80" i="1"/>
  <c r="E74" i="1" s="1"/>
  <c r="B39" i="6"/>
  <c r="B233" i="1"/>
  <c r="B234" i="1"/>
  <c r="B171" i="1"/>
  <c r="B174" i="1"/>
  <c r="B173" i="1"/>
  <c r="B175" i="1"/>
  <c r="B217" i="1"/>
  <c r="B216" i="1"/>
  <c r="B224" i="1" s="1"/>
  <c r="B196" i="1"/>
  <c r="I221" i="1"/>
  <c r="I218" i="1"/>
  <c r="B235" i="1"/>
  <c r="D47" i="1"/>
  <c r="B220" i="1"/>
  <c r="B222" i="1"/>
  <c r="B223" i="1"/>
  <c r="AB36" i="1"/>
  <c r="AB37" i="1" s="1"/>
  <c r="B43" i="1" s="1"/>
  <c r="B104" i="1"/>
  <c r="D104" i="1" s="1"/>
  <c r="B107" i="1"/>
  <c r="B106" i="1" s="1"/>
  <c r="B15" i="4"/>
  <c r="B197" i="1"/>
  <c r="B198" i="1"/>
  <c r="B100" i="1"/>
  <c r="B99" i="1" s="1"/>
  <c r="B102" i="1"/>
  <c r="B101" i="1" s="1"/>
  <c r="B97" i="1"/>
  <c r="D97" i="1" s="1"/>
  <c r="B219" i="1"/>
  <c r="B221" i="1"/>
  <c r="I217" i="1"/>
  <c r="I216" i="1"/>
  <c r="I219" i="1" s="1"/>
  <c r="B15" i="3"/>
  <c r="B29" i="2"/>
  <c r="B16" i="2"/>
  <c r="B206" i="1"/>
  <c r="B211" i="1" s="1"/>
  <c r="B213" i="1" s="1"/>
  <c r="B205" i="1"/>
  <c r="B208" i="1" s="1"/>
  <c r="B93" i="1"/>
  <c r="B92" i="1" s="1"/>
  <c r="B119" i="1"/>
  <c r="B90" i="1"/>
  <c r="D90" i="1" s="1"/>
  <c r="B41" i="4"/>
  <c r="B40" i="4" s="1"/>
  <c r="B30" i="4"/>
  <c r="B229" i="1" l="1"/>
  <c r="B228" i="1"/>
  <c r="B226" i="1"/>
  <c r="B109" i="1"/>
  <c r="B108" i="1" s="1"/>
  <c r="B225" i="1"/>
  <c r="B227" i="1"/>
  <c r="B231" i="1" s="1"/>
  <c r="I80" i="1"/>
  <c r="D82" i="1" s="1"/>
  <c r="G80" i="1"/>
  <c r="E1" i="2"/>
  <c r="B14" i="2" s="1"/>
  <c r="E1" i="3"/>
  <c r="B118" i="1"/>
  <c r="L6" i="1" s="1"/>
  <c r="E1" i="4"/>
  <c r="B230" i="1"/>
  <c r="B33" i="2"/>
  <c r="B15" i="2"/>
  <c r="B27" i="2"/>
  <c r="L12" i="1"/>
  <c r="D44" i="1"/>
  <c r="I220" i="1"/>
  <c r="I222" i="1"/>
  <c r="H80" i="1" s="1"/>
  <c r="D81" i="1" s="1"/>
  <c r="B199" i="1"/>
  <c r="B200" i="1"/>
  <c r="B21" i="6"/>
  <c r="B43" i="2"/>
  <c r="B42" i="2" s="1"/>
  <c r="B28" i="2"/>
  <c r="B95" i="1"/>
  <c r="B209" i="1"/>
  <c r="B212" i="1" s="1"/>
  <c r="B214" i="1" s="1"/>
  <c r="F80" i="1" l="1"/>
  <c r="B201" i="1"/>
  <c r="B236" i="1" s="1"/>
  <c r="B64" i="2"/>
  <c r="B66" i="2" s="1"/>
  <c r="B26" i="2"/>
  <c r="B25" i="2"/>
  <c r="B24" i="2" s="1"/>
  <c r="B27" i="6"/>
  <c r="B36" i="6"/>
  <c r="B40" i="6"/>
  <c r="B38" i="6"/>
  <c r="B25" i="6"/>
  <c r="B14" i="4"/>
  <c r="B62" i="4"/>
  <c r="B13" i="2"/>
  <c r="B19" i="2"/>
  <c r="A18" i="2"/>
  <c r="B32" i="2"/>
  <c r="B31" i="2"/>
  <c r="B12" i="3"/>
  <c r="B32" i="3"/>
  <c r="B36" i="3" s="1"/>
  <c r="B35" i="3" s="1"/>
  <c r="B94" i="1"/>
  <c r="B202" i="1"/>
  <c r="B203" i="1"/>
  <c r="B232" i="1"/>
  <c r="B63" i="2" l="1"/>
  <c r="B65" i="2"/>
  <c r="B64" i="4"/>
  <c r="B63" i="4" s="1"/>
  <c r="B61" i="4"/>
  <c r="B25" i="3"/>
  <c r="B24" i="3" s="1"/>
  <c r="B34" i="3"/>
  <c r="B33" i="3" s="1"/>
  <c r="B11" i="3"/>
  <c r="B19" i="3"/>
  <c r="A18" i="3"/>
  <c r="B41" i="2"/>
  <c r="B40" i="2" s="1"/>
  <c r="B30" i="2"/>
  <c r="B49" i="2"/>
  <c r="B13" i="4"/>
  <c r="B27" i="4"/>
  <c r="B26" i="4" s="1"/>
  <c r="B25" i="4"/>
  <c r="B19" i="4"/>
  <c r="A18" i="4"/>
  <c r="B68" i="4"/>
  <c r="B237" i="1"/>
  <c r="B239" i="1" s="1"/>
  <c r="B240" i="1" s="1"/>
  <c r="B84" i="1" s="1"/>
  <c r="B24" i="4" l="1"/>
  <c r="B39" i="4"/>
  <c r="B38" i="4" s="1"/>
  <c r="Q4" i="1"/>
  <c r="A188" i="1"/>
  <c r="M26" i="1"/>
  <c r="B47" i="4"/>
  <c r="B51" i="2"/>
  <c r="B50" i="2" s="1"/>
  <c r="B48" i="2"/>
  <c r="L23" i="1" l="1"/>
  <c r="L22" i="1"/>
  <c r="L16" i="1"/>
  <c r="L17" i="1"/>
  <c r="L21" i="1"/>
  <c r="L20" i="1"/>
  <c r="N21" i="1"/>
  <c r="L24" i="1"/>
  <c r="B46" i="4"/>
  <c r="B49" i="4"/>
  <c r="B48" i="4" s="1"/>
  <c r="B70" i="2"/>
  <c r="B164" i="1" l="1"/>
  <c r="D163" i="1" s="1"/>
</calcChain>
</file>

<file path=xl/sharedStrings.xml><?xml version="1.0" encoding="utf-8"?>
<sst xmlns="http://schemas.openxmlformats.org/spreadsheetml/2006/main" count="794" uniqueCount="382">
  <si>
    <t>V</t>
  </si>
  <si>
    <t>ns</t>
  </si>
  <si>
    <t>VIN</t>
  </si>
  <si>
    <t>VOUT</t>
  </si>
  <si>
    <t>IOUT</t>
  </si>
  <si>
    <t>Iripple</t>
  </si>
  <si>
    <t>Cout</t>
  </si>
  <si>
    <t>ESR_Cout</t>
  </si>
  <si>
    <t>ton/toff</t>
  </si>
  <si>
    <t>ton</t>
  </si>
  <si>
    <t>IL(avg)</t>
  </si>
  <si>
    <t>Ipk(sw)</t>
  </si>
  <si>
    <t>Vripple(pk-pk)</t>
  </si>
  <si>
    <t>toff</t>
  </si>
  <si>
    <t>D</t>
  </si>
  <si>
    <t>Vout</t>
  </si>
  <si>
    <t>= Input Parameter</t>
  </si>
  <si>
    <t xml:space="preserve">&lt;-- Output capacitor </t>
  </si>
  <si>
    <t>&lt;-- Equivalent Series Resistance of Cout</t>
  </si>
  <si>
    <t>1) Insert Design Parameters</t>
  </si>
  <si>
    <t>Unit</t>
  </si>
  <si>
    <t>A</t>
  </si>
  <si>
    <t>&lt;-- Vout from above</t>
  </si>
  <si>
    <t>&lt;-- Upper Resistor</t>
  </si>
  <si>
    <t>&lt;-- Lower Resistor</t>
  </si>
  <si>
    <t>uF</t>
  </si>
  <si>
    <t>mV</t>
  </si>
  <si>
    <t>Cin</t>
  </si>
  <si>
    <t>&lt;-- Input capacitor (based on ripple requirements)</t>
  </si>
  <si>
    <t>%</t>
  </si>
  <si>
    <t>Pind, winding</t>
  </si>
  <si>
    <t>Pstatic, IC</t>
  </si>
  <si>
    <t>W</t>
  </si>
  <si>
    <t>Pcore</t>
  </si>
  <si>
    <t>Pout</t>
  </si>
  <si>
    <t>Ploss, total</t>
  </si>
  <si>
    <t>Pin</t>
  </si>
  <si>
    <t>Efficiency</t>
  </si>
  <si>
    <t xml:space="preserve">&lt;-- Total Loss </t>
  </si>
  <si>
    <t>&lt;-- Output Power</t>
  </si>
  <si>
    <t>&lt;-- Input Power = Output Power + Total Loss</t>
  </si>
  <si>
    <t>&lt;-- Ripple Voltage (min)</t>
  </si>
  <si>
    <t>&lt;-- Efficiency of Converter (Est: +/- 5%)</t>
  </si>
  <si>
    <r>
      <t xml:space="preserve">= Calculated Parameter </t>
    </r>
    <r>
      <rPr>
        <b/>
        <sz val="10"/>
        <rFont val="Arial"/>
        <family val="2"/>
      </rPr>
      <t>(DO NOT CHANGE)</t>
    </r>
  </si>
  <si>
    <r>
      <t xml:space="preserve">&lt;-- Ripple Current, </t>
    </r>
    <r>
      <rPr>
        <sz val="10"/>
        <rFont val="Symbol"/>
        <family val="1"/>
        <charset val="2"/>
      </rPr>
      <t>D</t>
    </r>
    <r>
      <rPr>
        <sz val="10"/>
        <rFont val="Arial"/>
        <charset val="238"/>
      </rPr>
      <t>IL</t>
    </r>
  </si>
  <si>
    <r>
      <t>m</t>
    </r>
    <r>
      <rPr>
        <sz val="10"/>
        <rFont val="Arial"/>
        <charset val="238"/>
      </rPr>
      <t>H</t>
    </r>
  </si>
  <si>
    <r>
      <t>m</t>
    </r>
    <r>
      <rPr>
        <sz val="10"/>
        <rFont val="Symbol"/>
        <family val="1"/>
        <charset val="2"/>
      </rPr>
      <t>W</t>
    </r>
  </si>
  <si>
    <r>
      <t>k</t>
    </r>
    <r>
      <rPr>
        <sz val="10"/>
        <rFont val="Symbol"/>
        <family val="1"/>
        <charset val="2"/>
      </rPr>
      <t>W</t>
    </r>
  </si>
  <si>
    <t>R6</t>
  </si>
  <si>
    <t>L1</t>
  </si>
  <si>
    <t>DCR</t>
  </si>
  <si>
    <t>4) Calculate Resistor Divider for Setting Vout</t>
  </si>
  <si>
    <t>5) Optimize Vout with standard R2 values</t>
  </si>
  <si>
    <t xml:space="preserve">  </t>
  </si>
  <si>
    <t>value</t>
  </si>
  <si>
    <t>Pdynam, IC</t>
  </si>
  <si>
    <r>
      <t>m</t>
    </r>
    <r>
      <rPr>
        <sz val="10"/>
        <rFont val="Arial"/>
        <family val="2"/>
        <charset val="238"/>
      </rPr>
      <t>F</t>
    </r>
  </si>
  <si>
    <t>R3</t>
  </si>
  <si>
    <t>R2</t>
  </si>
  <si>
    <t>R7</t>
  </si>
  <si>
    <t>C12</t>
  </si>
  <si>
    <t>nF</t>
  </si>
  <si>
    <t>Design Spreadsheet for the NCP1034 BUCK Topology</t>
  </si>
  <si>
    <t>Target f</t>
  </si>
  <si>
    <t>kHz</t>
  </si>
  <si>
    <t>Low side RDSon</t>
  </si>
  <si>
    <t>High side RDSon</t>
  </si>
  <si>
    <t>Css</t>
  </si>
  <si>
    <t>ms</t>
  </si>
  <si>
    <r>
      <t>I</t>
    </r>
    <r>
      <rPr>
        <vertAlign val="subscript"/>
        <sz val="10"/>
        <rFont val="Arial"/>
        <family val="2"/>
        <charset val="238"/>
      </rPr>
      <t>IN(RMS)</t>
    </r>
  </si>
  <si>
    <t>Vin</t>
  </si>
  <si>
    <t>Vramp</t>
  </si>
  <si>
    <t>Vref</t>
  </si>
  <si>
    <t>L</t>
  </si>
  <si>
    <t>C</t>
  </si>
  <si>
    <t>ESR</t>
  </si>
  <si>
    <t>fs</t>
  </si>
  <si>
    <t>gm</t>
  </si>
  <si>
    <t>theta</t>
  </si>
  <si>
    <t>Fz0</t>
  </si>
  <si>
    <t>F0</t>
  </si>
  <si>
    <t>Fp</t>
  </si>
  <si>
    <t>Fz2</t>
  </si>
  <si>
    <t>Fp2</t>
  </si>
  <si>
    <t>Fp1</t>
  </si>
  <si>
    <t>Fp3</t>
  </si>
  <si>
    <t>R3&gt;</t>
  </si>
  <si>
    <t>R3=</t>
  </si>
  <si>
    <t>C6</t>
  </si>
  <si>
    <t>C7</t>
  </si>
  <si>
    <t>C8</t>
  </si>
  <si>
    <t>R9</t>
  </si>
  <si>
    <t>R1</t>
  </si>
  <si>
    <t>FP0</t>
  </si>
  <si>
    <t>FZ0</t>
  </si>
  <si>
    <t>FZ1</t>
  </si>
  <si>
    <t>FP2</t>
  </si>
  <si>
    <t>FZ2</t>
  </si>
  <si>
    <t>FP3</t>
  </si>
  <si>
    <t>1) Determine zeros, poles and zero crossover frequency</t>
  </si>
  <si>
    <t>2) Compensator zeros and poles</t>
  </si>
  <si>
    <t>Fz1</t>
  </si>
  <si>
    <t>&lt;-- Minimum needed value</t>
  </si>
  <si>
    <t>3) Comp pin compensation network</t>
  </si>
  <si>
    <t>pF</t>
  </si>
  <si>
    <t>3) Feedback divider</t>
  </si>
  <si>
    <t>Status:</t>
  </si>
  <si>
    <t>&lt;-- Desired Ave Output Current</t>
  </si>
  <si>
    <t>&lt;-- Pick nearest E96 1% R value for R1</t>
  </si>
  <si>
    <t>&lt;-- Optional</t>
  </si>
  <si>
    <t>4) Optimalize feedback divider values</t>
  </si>
  <si>
    <t>5) Feedback compensation network</t>
  </si>
  <si>
    <t>&lt;-- Pick nearest E96 1% R value for R2</t>
  </si>
  <si>
    <t>6) Compensation check</t>
  </si>
  <si>
    <t>Compensation II (PI)</t>
  </si>
  <si>
    <t>L1DCR</t>
  </si>
  <si>
    <t>C1</t>
  </si>
  <si>
    <t>C9</t>
  </si>
  <si>
    <t>C9ESR</t>
  </si>
  <si>
    <t>C5</t>
  </si>
  <si>
    <t>Used compensation:</t>
  </si>
  <si>
    <r>
      <t>Input Voltage:</t>
    </r>
    <r>
      <rPr>
        <sz val="10"/>
        <rFont val="Arial"/>
        <family val="2"/>
      </rPr>
      <t xml:space="preserve"> 12V &lt; Vin &lt; 100V</t>
    </r>
  </si>
  <si>
    <r>
      <t>Output Voltage:</t>
    </r>
    <r>
      <rPr>
        <sz val="10"/>
        <rFont val="Arial"/>
        <family val="2"/>
      </rPr>
      <t xml:space="preserve"> 1.25V &lt; Vout &lt; 0.8xVin</t>
    </r>
  </si>
  <si>
    <t>R8</t>
  </si>
  <si>
    <t>IQ2 negative peak</t>
  </si>
  <si>
    <t>IQ2 positive peak B</t>
  </si>
  <si>
    <t>mA</t>
  </si>
  <si>
    <t>&lt;-- Positive current switch off low side MOSFET treshold value for version B</t>
  </si>
  <si>
    <r>
      <t>ESR</t>
    </r>
    <r>
      <rPr>
        <vertAlign val="subscript"/>
        <sz val="10"/>
        <rFont val="Arial"/>
        <family val="2"/>
        <charset val="238"/>
      </rPr>
      <t>C9</t>
    </r>
  </si>
  <si>
    <t>VUVLO(falling)</t>
  </si>
  <si>
    <t>VUVLO(rising)</t>
  </si>
  <si>
    <t>R5</t>
  </si>
  <si>
    <t>R4</t>
  </si>
  <si>
    <t>Final parts values</t>
  </si>
  <si>
    <t>&lt;-- Compensation test</t>
  </si>
  <si>
    <r>
      <t>Timing resistor:</t>
    </r>
    <r>
      <rPr>
        <sz val="10"/>
        <rFont val="Arial"/>
        <charset val="238"/>
      </rPr>
      <t xml:space="preserve">            5 - 250 k</t>
    </r>
    <r>
      <rPr>
        <sz val="10"/>
        <rFont val="Symbol"/>
        <family val="1"/>
        <charset val="2"/>
      </rPr>
      <t>W</t>
    </r>
  </si>
  <si>
    <t>CompensTime</t>
  </si>
  <si>
    <t>Compensation III (PID) Method II</t>
  </si>
  <si>
    <t>Compensation III (PID) Method I</t>
  </si>
  <si>
    <t>Rt [kOhm]</t>
  </si>
  <si>
    <t>f[kHz]</t>
  </si>
  <si>
    <t>f</t>
  </si>
  <si>
    <t>Rmen</t>
  </si>
  <si>
    <t>Rvet</t>
  </si>
  <si>
    <t>fmen</t>
  </si>
  <si>
    <t>fvet</t>
  </si>
  <si>
    <t>dR</t>
  </si>
  <si>
    <t>R</t>
  </si>
  <si>
    <t>Phigh_switch, cond</t>
  </si>
  <si>
    <t>Plow_switch, cond</t>
  </si>
  <si>
    <t>Low side QGD</t>
  </si>
  <si>
    <t>nC</t>
  </si>
  <si>
    <t>Low side QGS</t>
  </si>
  <si>
    <t>Low side QG</t>
  </si>
  <si>
    <t>Low side RG</t>
  </si>
  <si>
    <t>Low side VTH</t>
  </si>
  <si>
    <t>Low side gfs</t>
  </si>
  <si>
    <t>S</t>
  </si>
  <si>
    <t>High side QGD</t>
  </si>
  <si>
    <t>High side QGS</t>
  </si>
  <si>
    <t>High side QG</t>
  </si>
  <si>
    <t>High side RG</t>
  </si>
  <si>
    <t>High side VTH</t>
  </si>
  <si>
    <t>High side gfs</t>
  </si>
  <si>
    <t>Low side QRR</t>
  </si>
  <si>
    <t>Plow_switch, sw</t>
  </si>
  <si>
    <t>Phigh_switch, sw</t>
  </si>
  <si>
    <t>VSP</t>
  </si>
  <si>
    <t>Rdriverup</t>
  </si>
  <si>
    <t>Ohm</t>
  </si>
  <si>
    <t>Rdriverdown</t>
  </si>
  <si>
    <t>IdriverL-H</t>
  </si>
  <si>
    <t>VCC</t>
  </si>
  <si>
    <t>IdriverH-L</t>
  </si>
  <si>
    <t>Qg(sw)</t>
  </si>
  <si>
    <t>tsL-H</t>
  </si>
  <si>
    <t>tsH-L</t>
  </si>
  <si>
    <t>s</t>
  </si>
  <si>
    <t>Low side CISS</t>
  </si>
  <si>
    <t>RCr</t>
  </si>
  <si>
    <t>t2r</t>
  </si>
  <si>
    <t>t3r</t>
  </si>
  <si>
    <t>t2f</t>
  </si>
  <si>
    <t>t3f</t>
  </si>
  <si>
    <t>k2r</t>
  </si>
  <si>
    <t>k3r</t>
  </si>
  <si>
    <t>K2f</t>
  </si>
  <si>
    <t>k3f</t>
  </si>
  <si>
    <t>Low side VG(rdsmin)</t>
  </si>
  <si>
    <t>Low side Vf body</t>
  </si>
  <si>
    <t>Pswr</t>
  </si>
  <si>
    <t>Pswf</t>
  </si>
  <si>
    <t>RCf</t>
  </si>
  <si>
    <t>Plow_switch, body</t>
  </si>
  <si>
    <t>P preregulator</t>
  </si>
  <si>
    <t>IQ2 positive peak</t>
  </si>
  <si>
    <t>PDRH_LH</t>
  </si>
  <si>
    <t>PDRH_HL</t>
  </si>
  <si>
    <t>PDRL_LH</t>
  </si>
  <si>
    <t>PDRL_HL</t>
  </si>
  <si>
    <t>&lt;-- Power Loss of High Power Switch Gate Charge</t>
  </si>
  <si>
    <t>&lt;-- Power Loss of Low Power Switch Gate Charge</t>
  </si>
  <si>
    <t>Psw_on</t>
  </si>
  <si>
    <t>Psw_off</t>
  </si>
  <si>
    <t>Plow_dead_time</t>
  </si>
  <si>
    <t>&lt;-- Body Diode Conduction Loss</t>
  </si>
  <si>
    <t>NTD12N10</t>
  </si>
  <si>
    <t>NTB45N06</t>
  </si>
  <si>
    <t>NTD32N06</t>
  </si>
  <si>
    <t>NTD20N06</t>
  </si>
  <si>
    <t>NTD18N06</t>
  </si>
  <si>
    <t>Si7850</t>
  </si>
  <si>
    <t>Si4470</t>
  </si>
  <si>
    <t>NTMD6N04</t>
  </si>
  <si>
    <t>Manufacture</t>
  </si>
  <si>
    <t>Vishay</t>
  </si>
  <si>
    <t>Package</t>
  </si>
  <si>
    <t>DPAK</t>
  </si>
  <si>
    <t>NTD6600N</t>
  </si>
  <si>
    <t>ONSemi</t>
  </si>
  <si>
    <t>D2PAK</t>
  </si>
  <si>
    <t>NTD3055-150</t>
  </si>
  <si>
    <t>NTF3055-100</t>
  </si>
  <si>
    <t>SOT223</t>
  </si>
  <si>
    <t>PowerPAK</t>
  </si>
  <si>
    <r>
      <t>V</t>
    </r>
    <r>
      <rPr>
        <b/>
        <vertAlign val="subscript"/>
        <sz val="10"/>
        <rFont val="Arial"/>
        <family val="2"/>
        <charset val="238"/>
      </rPr>
      <t>DSS</t>
    </r>
    <r>
      <rPr>
        <b/>
        <sz val="10"/>
        <rFont val="Arial"/>
        <family val="2"/>
        <charset val="238"/>
      </rPr>
      <t xml:space="preserve"> [V]</t>
    </r>
  </si>
  <si>
    <r>
      <t>R</t>
    </r>
    <r>
      <rPr>
        <b/>
        <vertAlign val="subscript"/>
        <sz val="10"/>
        <rFont val="Arial"/>
        <family val="2"/>
        <charset val="238"/>
      </rPr>
      <t>DSON</t>
    </r>
    <r>
      <rPr>
        <b/>
        <sz val="10"/>
        <rFont val="Arial"/>
        <family val="2"/>
        <charset val="238"/>
      </rPr>
      <t xml:space="preserve"> [m</t>
    </r>
    <r>
      <rPr>
        <b/>
        <sz val="10"/>
        <rFont val="Symbol"/>
        <family val="1"/>
        <charset val="2"/>
      </rPr>
      <t>W</t>
    </r>
    <r>
      <rPr>
        <b/>
        <sz val="10"/>
        <rFont val="Arial"/>
        <family val="2"/>
        <charset val="238"/>
      </rPr>
      <t>]</t>
    </r>
  </si>
  <si>
    <r>
      <t>Q</t>
    </r>
    <r>
      <rPr>
        <b/>
        <vertAlign val="subscript"/>
        <sz val="10"/>
        <rFont val="Arial"/>
        <family val="2"/>
        <charset val="238"/>
      </rPr>
      <t>GD</t>
    </r>
    <r>
      <rPr>
        <b/>
        <sz val="10"/>
        <rFont val="Arial"/>
        <family val="2"/>
        <charset val="238"/>
      </rPr>
      <t xml:space="preserve"> [nC]</t>
    </r>
  </si>
  <si>
    <r>
      <t>Q</t>
    </r>
    <r>
      <rPr>
        <b/>
        <vertAlign val="subscript"/>
        <sz val="10"/>
        <rFont val="Arial"/>
        <family val="2"/>
        <charset val="238"/>
      </rPr>
      <t>GS</t>
    </r>
    <r>
      <rPr>
        <b/>
        <sz val="10"/>
        <rFont val="Arial"/>
        <family val="2"/>
        <charset val="238"/>
      </rPr>
      <t xml:space="preserve"> [nC]</t>
    </r>
  </si>
  <si>
    <r>
      <t>Q</t>
    </r>
    <r>
      <rPr>
        <b/>
        <vertAlign val="subscript"/>
        <sz val="10"/>
        <rFont val="Arial"/>
        <family val="2"/>
        <charset val="238"/>
      </rPr>
      <t>GT</t>
    </r>
    <r>
      <rPr>
        <b/>
        <sz val="10"/>
        <rFont val="Arial"/>
        <family val="2"/>
        <charset val="238"/>
      </rPr>
      <t xml:space="preserve"> [nC]</t>
    </r>
  </si>
  <si>
    <r>
      <t>Q</t>
    </r>
    <r>
      <rPr>
        <b/>
        <vertAlign val="subscript"/>
        <sz val="10"/>
        <rFont val="Arial"/>
        <family val="2"/>
        <charset val="238"/>
      </rPr>
      <t>RR</t>
    </r>
    <r>
      <rPr>
        <b/>
        <sz val="10"/>
        <rFont val="Arial"/>
        <family val="2"/>
        <charset val="238"/>
      </rPr>
      <t xml:space="preserve"> [nC]</t>
    </r>
  </si>
  <si>
    <r>
      <t>C</t>
    </r>
    <r>
      <rPr>
        <b/>
        <vertAlign val="subscript"/>
        <sz val="10"/>
        <rFont val="Arial"/>
        <family val="2"/>
        <charset val="238"/>
      </rPr>
      <t>ISS</t>
    </r>
    <r>
      <rPr>
        <b/>
        <sz val="10"/>
        <rFont val="Arial"/>
        <family val="2"/>
        <charset val="238"/>
      </rPr>
      <t xml:space="preserve"> [pF]</t>
    </r>
  </si>
  <si>
    <r>
      <t>V</t>
    </r>
    <r>
      <rPr>
        <b/>
        <vertAlign val="subscript"/>
        <sz val="10"/>
        <rFont val="Arial"/>
        <family val="2"/>
        <charset val="238"/>
      </rPr>
      <t>GRDSmin</t>
    </r>
    <r>
      <rPr>
        <b/>
        <sz val="10"/>
        <rFont val="Arial"/>
        <family val="2"/>
        <charset val="238"/>
      </rPr>
      <t xml:space="preserve"> [V]</t>
    </r>
  </si>
  <si>
    <r>
      <t>g</t>
    </r>
    <r>
      <rPr>
        <b/>
        <vertAlign val="subscript"/>
        <sz val="10"/>
        <rFont val="Arial"/>
        <family val="2"/>
        <charset val="238"/>
      </rPr>
      <t>FS</t>
    </r>
    <r>
      <rPr>
        <b/>
        <sz val="10"/>
        <rFont val="Arial"/>
        <family val="2"/>
        <charset val="238"/>
      </rPr>
      <t xml:space="preserve"> [S]</t>
    </r>
  </si>
  <si>
    <t>Low side VDSS</t>
  </si>
  <si>
    <t>Low side ID</t>
  </si>
  <si>
    <t>High side VDSS</t>
  </si>
  <si>
    <t>High side ID</t>
  </si>
  <si>
    <t>Dual SOIC 8</t>
  </si>
  <si>
    <t>SOIC 8</t>
  </si>
  <si>
    <t>Parameter/Type</t>
  </si>
  <si>
    <t>&lt;-- Switching Loss of High Power Switcher</t>
  </si>
  <si>
    <t>&lt;-- Switching Loss of Low Power Switcher</t>
  </si>
  <si>
    <t>&lt;-- Conduction Loss of High Power Switcher</t>
  </si>
  <si>
    <t>&lt;-- Conduction Loss of Low Power Switcher</t>
  </si>
  <si>
    <t>&lt;-- Dynamic Power Loss of the IC</t>
  </si>
  <si>
    <t>&lt;-- Static Power Loss of the IC</t>
  </si>
  <si>
    <t>&lt;-- Power Loss of Linear Preregulator VIN --&gt; VCC</t>
  </si>
  <si>
    <t>&lt;-- Inductor Winding Loss</t>
  </si>
  <si>
    <t>Low side MOSFET Q2</t>
  </si>
  <si>
    <t>High side MOSFET Q1</t>
  </si>
  <si>
    <t>Other-3</t>
  </si>
  <si>
    <t>Other-4</t>
  </si>
  <si>
    <t>Other-5</t>
  </si>
  <si>
    <t>Other-6</t>
  </si>
  <si>
    <t>* Modify the Other column to add additional FETs</t>
  </si>
  <si>
    <t>Si7852</t>
  </si>
  <si>
    <r>
      <t>V</t>
    </r>
    <r>
      <rPr>
        <b/>
        <vertAlign val="subscript"/>
        <sz val="10"/>
        <rFont val="Arial"/>
        <family val="2"/>
        <charset val="238"/>
      </rPr>
      <t>GS(th)</t>
    </r>
    <r>
      <rPr>
        <b/>
        <sz val="10"/>
        <rFont val="Arial"/>
        <family val="2"/>
        <charset val="238"/>
      </rPr>
      <t xml:space="preserve"> [V]</t>
    </r>
  </si>
  <si>
    <r>
      <t>V</t>
    </r>
    <r>
      <rPr>
        <b/>
        <vertAlign val="subscript"/>
        <sz val="10"/>
        <rFont val="Arial"/>
        <family val="2"/>
        <charset val="238"/>
      </rPr>
      <t>SD</t>
    </r>
    <r>
      <rPr>
        <b/>
        <sz val="10"/>
        <rFont val="Arial"/>
        <family val="2"/>
        <charset val="238"/>
      </rPr>
      <t xml:space="preserve"> [V]</t>
    </r>
  </si>
  <si>
    <r>
      <t>m</t>
    </r>
    <r>
      <rPr>
        <sz val="10"/>
        <rFont val="Arial"/>
      </rPr>
      <t>s</t>
    </r>
  </si>
  <si>
    <r>
      <t>D</t>
    </r>
    <r>
      <rPr>
        <sz val="10"/>
        <rFont val="Arial"/>
      </rPr>
      <t>IL / IL(avg)</t>
    </r>
  </si>
  <si>
    <r>
      <t>m</t>
    </r>
    <r>
      <rPr>
        <sz val="10"/>
        <rFont val="Arial"/>
        <charset val="238"/>
      </rPr>
      <t>H</t>
    </r>
  </si>
  <si>
    <r>
      <t>D</t>
    </r>
    <r>
      <rPr>
        <sz val="10"/>
        <rFont val="Arial"/>
      </rPr>
      <t>V(in)</t>
    </r>
  </si>
  <si>
    <r>
      <t>m</t>
    </r>
    <r>
      <rPr>
        <sz val="10"/>
        <rFont val="Arial"/>
        <charset val="238"/>
      </rPr>
      <t>F</t>
    </r>
  </si>
  <si>
    <r>
      <t>D</t>
    </r>
    <r>
      <rPr>
        <sz val="10"/>
        <rFont val="Arial"/>
      </rPr>
      <t>V(out)</t>
    </r>
  </si>
  <si>
    <r>
      <t>I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 xml:space="preserve"> [A]</t>
    </r>
  </si>
  <si>
    <t>NTD24N06</t>
  </si>
  <si>
    <r>
      <t>t</t>
    </r>
    <r>
      <rPr>
        <b/>
        <vertAlign val="subscript"/>
        <sz val="10"/>
        <rFont val="Arial"/>
        <family val="2"/>
        <charset val="238"/>
      </rPr>
      <t xml:space="preserve">d(on) </t>
    </r>
    <r>
      <rPr>
        <b/>
        <sz val="10"/>
        <rFont val="Arial"/>
        <family val="2"/>
        <charset val="238"/>
      </rPr>
      <t>[ns]</t>
    </r>
  </si>
  <si>
    <r>
      <t>t</t>
    </r>
    <r>
      <rPr>
        <b/>
        <vertAlign val="subscript"/>
        <sz val="10"/>
        <rFont val="Arial"/>
        <family val="2"/>
        <charset val="238"/>
      </rPr>
      <t xml:space="preserve">d(off) </t>
    </r>
    <r>
      <rPr>
        <b/>
        <sz val="10"/>
        <rFont val="Arial"/>
        <family val="2"/>
        <charset val="238"/>
      </rPr>
      <t>[ns]</t>
    </r>
  </si>
  <si>
    <r>
      <t>t</t>
    </r>
    <r>
      <rPr>
        <b/>
        <vertAlign val="subscript"/>
        <sz val="10"/>
        <rFont val="Arial"/>
        <family val="2"/>
        <charset val="238"/>
      </rPr>
      <t xml:space="preserve">f </t>
    </r>
    <r>
      <rPr>
        <b/>
        <sz val="10"/>
        <rFont val="Arial"/>
        <family val="2"/>
        <charset val="238"/>
      </rPr>
      <t>[ns]</t>
    </r>
  </si>
  <si>
    <r>
      <t>t</t>
    </r>
    <r>
      <rPr>
        <b/>
        <vertAlign val="subscript"/>
        <sz val="10"/>
        <rFont val="Arial"/>
        <family val="2"/>
        <charset val="238"/>
      </rPr>
      <t xml:space="preserve">r </t>
    </r>
    <r>
      <rPr>
        <b/>
        <sz val="10"/>
        <rFont val="Arial"/>
        <family val="2"/>
        <charset val="238"/>
      </rPr>
      <t>[ns]</t>
    </r>
  </si>
  <si>
    <r>
      <t>R</t>
    </r>
    <r>
      <rPr>
        <b/>
        <vertAlign val="subscript"/>
        <sz val="10"/>
        <rFont val="Arial"/>
        <family val="2"/>
        <charset val="238"/>
      </rPr>
      <t>G</t>
    </r>
    <r>
      <rPr>
        <b/>
        <sz val="10"/>
        <rFont val="Arial"/>
        <family val="2"/>
        <charset val="238"/>
      </rPr>
      <t xml:space="preserve"> [</t>
    </r>
    <r>
      <rPr>
        <b/>
        <sz val="10"/>
        <rFont val="Symbol"/>
        <family val="1"/>
        <charset val="2"/>
      </rPr>
      <t>W</t>
    </r>
    <r>
      <rPr>
        <b/>
        <sz val="10"/>
        <rFont val="Arial"/>
        <family val="2"/>
        <charset val="238"/>
      </rPr>
      <t>]</t>
    </r>
  </si>
  <si>
    <t>Low side td(on)</t>
  </si>
  <si>
    <t>Low side tf</t>
  </si>
  <si>
    <t>Low side td(off)</t>
  </si>
  <si>
    <t>Low side tr</t>
  </si>
  <si>
    <t>High side td(on)</t>
  </si>
  <si>
    <t>High side tr</t>
  </si>
  <si>
    <t>High side td(off)</t>
  </si>
  <si>
    <t>High side tf</t>
  </si>
  <si>
    <t>IRFR3410</t>
  </si>
  <si>
    <t>IR</t>
  </si>
  <si>
    <t>IRFR3412</t>
  </si>
  <si>
    <t>Estimate efficiency</t>
  </si>
  <si>
    <t>&lt;-- See Bottom of the List for Details</t>
  </si>
  <si>
    <t>&lt;-- Duty Cycle.  Maximum Duty Cycle of the NCP1034 is 80%</t>
  </si>
  <si>
    <t>&lt;-- Average Inductor Current.  For a Buck Converter This Equals Iout</t>
  </si>
  <si>
    <t>&lt;-- Peak Inductor Current. For a Buck Converter This Equals Iout + Iripple/2</t>
  </si>
  <si>
    <t xml:space="preserve">&lt;-- Minimum Inductance Value </t>
  </si>
  <si>
    <t>* Increasing Inductance Decreases Ripple Current</t>
  </si>
  <si>
    <t>&lt;-- Inductor Widing Resistance (from Inductor Data Sheet or Measurement).</t>
  </si>
  <si>
    <t>&lt;-- Recommended Value is About 2-5%</t>
  </si>
  <si>
    <t>&lt;-- Minimum Input Capacity</t>
  </si>
  <si>
    <t>&lt;-- Output Voltage Ripple</t>
  </si>
  <si>
    <t>&lt;-- Approximate Value</t>
  </si>
  <si>
    <r>
      <t>&lt;-- Recommended Value is 10k</t>
    </r>
    <r>
      <rPr>
        <sz val="10"/>
        <rFont val="Symbol"/>
        <family val="1"/>
        <charset val="2"/>
      </rPr>
      <t>W</t>
    </r>
  </si>
  <si>
    <t>&lt;-- Pick Nearest Lower E96 1% R Value for R7</t>
  </si>
  <si>
    <t>&lt;-- Over Current Treshold Value</t>
  </si>
  <si>
    <t>&lt;-- Pick Nearest Lower E96 1% R Value for R4</t>
  </si>
  <si>
    <r>
      <t>Switching frequency:</t>
    </r>
    <r>
      <rPr>
        <sz val="10"/>
        <rFont val="Arial"/>
        <family val="2"/>
      </rPr>
      <t xml:space="preserve"> 25 - 500 kHz</t>
    </r>
  </si>
  <si>
    <t>Phigh_gate</t>
  </si>
  <si>
    <t>Plow_gate</t>
  </si>
  <si>
    <t>&lt;-- UVLO Falling Edge Voltage</t>
  </si>
  <si>
    <t>&lt;-- Final UVLO Rising Edge Value</t>
  </si>
  <si>
    <t>MMDF3N04HD</t>
  </si>
  <si>
    <t>SO8 Power</t>
  </si>
  <si>
    <t>Si2318</t>
  </si>
  <si>
    <t>SOT23</t>
  </si>
  <si>
    <t>TO220</t>
  </si>
  <si>
    <t>Linear VCC regulator</t>
  </si>
  <si>
    <t>VINmax</t>
  </si>
  <si>
    <t>VINmin</t>
  </si>
  <si>
    <t>2) Input target frequency</t>
  </si>
  <si>
    <t>3) External MOSFETs</t>
  </si>
  <si>
    <t>5) Inductor selection</t>
  </si>
  <si>
    <t>9) Calculate current limit set rezistor</t>
  </si>
  <si>
    <t>10) External UVLO divider</t>
  </si>
  <si>
    <t>11) Compensation and feedback divider</t>
  </si>
  <si>
    <t>12) Efficiency / Power Loss</t>
  </si>
  <si>
    <t>2) Zener diode parameters</t>
  </si>
  <si>
    <t>1) Input and supply voltages</t>
  </si>
  <si>
    <t>PD</t>
  </si>
  <si>
    <t>mW</t>
  </si>
  <si>
    <t>Rmax</t>
  </si>
  <si>
    <t>2) Regulator currents</t>
  </si>
  <si>
    <t>Imin</t>
  </si>
  <si>
    <t>Imax</t>
  </si>
  <si>
    <t>PR</t>
  </si>
  <si>
    <t>3) Shunt voltage regulator</t>
  </si>
  <si>
    <t>b</t>
  </si>
  <si>
    <t>-</t>
  </si>
  <si>
    <t>IZT</t>
  </si>
  <si>
    <t>VZ</t>
  </si>
  <si>
    <t>PT</t>
  </si>
  <si>
    <t>4) Shunt voltage regulator with transistor</t>
  </si>
  <si>
    <t>&lt;-- Core Loss in Inductor. Available in Inductor Data Sheet. Leave Blank if not Available.</t>
  </si>
  <si>
    <t>&lt;-- Body Diode Recovery Charge Loss (Should Be Reduced by Shotky Diode Across Low Side Mosfet)</t>
  </si>
  <si>
    <t>&lt;-- Minimum Reverse Current at VZ</t>
  </si>
  <si>
    <t>&lt;-- Maximum Power Dissipation</t>
  </si>
  <si>
    <t>&lt;-- Shut Down Supply Current</t>
  </si>
  <si>
    <t>&lt;-- Controller and Drivers Cunsumption</t>
  </si>
  <si>
    <t>&lt;-- Maximum Needed Value</t>
  </si>
  <si>
    <t>&lt;-- Pick Nearest Lower R Value</t>
  </si>
  <si>
    <t>&lt;-- Maximum Resistor Power Loss</t>
  </si>
  <si>
    <t>&lt;-- Maximum Zener Diode Power Loss</t>
  </si>
  <si>
    <t>&lt;-- Transistor DC Current Gain</t>
  </si>
  <si>
    <t>&lt;-- Maximum Transistor Power Loss</t>
  </si>
  <si>
    <t>&lt;-- Positive Current Switch off Low Side MOSFET</t>
  </si>
  <si>
    <t>&lt;-- From VCC (for transistor version must be real value higher about VBE)</t>
  </si>
  <si>
    <t>MTP20N15E</t>
  </si>
  <si>
    <r>
      <t>C</t>
    </r>
    <r>
      <rPr>
        <b/>
        <vertAlign val="subscript"/>
        <sz val="10"/>
        <rFont val="Arial"/>
        <family val="2"/>
        <charset val="238"/>
      </rPr>
      <t>OSS</t>
    </r>
    <r>
      <rPr>
        <b/>
        <sz val="10"/>
        <rFont val="Arial"/>
        <family val="2"/>
        <charset val="238"/>
      </rPr>
      <t xml:space="preserve"> [pF]</t>
    </r>
  </si>
  <si>
    <t>Low side COSS</t>
  </si>
  <si>
    <t>High side COSS</t>
  </si>
  <si>
    <t>P_switch_capacit</t>
  </si>
  <si>
    <t>&lt;-- Switchers Capacitance Loss</t>
  </si>
  <si>
    <t>tsL-Hdel</t>
  </si>
  <si>
    <t>tsH-Ldel</t>
  </si>
  <si>
    <t>k1r</t>
  </si>
  <si>
    <t>k4f</t>
  </si>
  <si>
    <t>t1r</t>
  </si>
  <si>
    <t>t4f</t>
  </si>
  <si>
    <t>&lt;-- toff (del)</t>
  </si>
  <si>
    <t>&lt;-- ton (del)</t>
  </si>
  <si>
    <t>time datasheets</t>
  </si>
  <si>
    <t>time calculated</t>
  </si>
  <si>
    <t>&lt;- Times for hard switching</t>
  </si>
  <si>
    <t>time calculated both hard switching</t>
  </si>
  <si>
    <r>
      <t>Supply Voltage:</t>
    </r>
    <r>
      <rPr>
        <sz val="10"/>
        <rFont val="Arial"/>
        <family val="2"/>
      </rPr>
      <t xml:space="preserve"> 10V &lt; Vin &lt; 18V</t>
    </r>
  </si>
  <si>
    <t>4) Duty cycle and minimum on time calculation</t>
  </si>
  <si>
    <t>&lt;-- Maximum Duty Cycle.  Maximum Duty Cycle of the NCP1034 is 80%</t>
  </si>
  <si>
    <t>ton (min)</t>
  </si>
  <si>
    <t>D (max)</t>
  </si>
  <si>
    <t>6) Input capacitor selection</t>
  </si>
  <si>
    <t>tss</t>
  </si>
  <si>
    <t>8) Calculate soft start capacitor</t>
  </si>
  <si>
    <t>7) Optimize Cout for ripple voltage</t>
  </si>
  <si>
    <t>&lt;-- Maximum Short Circuit Protection Resistor Value</t>
  </si>
  <si>
    <t>Si7962</t>
  </si>
  <si>
    <t>Other-1</t>
  </si>
  <si>
    <t>Other-2</t>
  </si>
  <si>
    <t>The attached presentation gives an overview on using this Excel based tool</t>
  </si>
  <si>
    <r>
      <t>Input Voltage:</t>
    </r>
    <r>
      <rPr>
        <sz val="10"/>
        <rFont val="Arial"/>
        <family val="2"/>
      </rPr>
      <t xml:space="preserve"> 10V &lt; Vin &lt; 100V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</si>
</sst>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.0"/>
  </numFmts>
  <fonts count="26" x14ac:knownFonts="1">
    <font>
      <sz val="10"/>
      <name val="Arial"/>
      <charset val="238"/>
    </font>
    <font>
      <sz val="10"/>
      <name val="Arial"/>
      <charset val="238"/>
    </font>
    <font>
      <sz val="10"/>
      <color indexed="12"/>
      <name val="Arial"/>
    </font>
    <font>
      <b/>
      <sz val="14"/>
      <color indexed="17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</font>
    <font>
      <sz val="10"/>
      <name val="Symbol"/>
      <family val="1"/>
      <charset val="2"/>
    </font>
    <font>
      <sz val="8"/>
      <name val="Arial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9"/>
      <name val="Arial"/>
      <charset val="238"/>
    </font>
    <font>
      <b/>
      <vertAlign val="subscript"/>
      <sz val="10"/>
      <name val="Arial"/>
      <family val="2"/>
      <charset val="238"/>
    </font>
    <font>
      <b/>
      <sz val="10"/>
      <name val="Symbol"/>
      <family val="1"/>
      <charset val="2"/>
    </font>
    <font>
      <i/>
      <sz val="8"/>
      <name val="Arial"/>
      <family val="2"/>
    </font>
    <font>
      <sz val="10"/>
      <name val="Arial"/>
    </font>
    <font>
      <b/>
      <sz val="16"/>
      <name val="Arial"/>
      <family val="2"/>
    </font>
    <font>
      <sz val="10"/>
      <name val="Arial"/>
      <charset val="238"/>
    </font>
    <font>
      <b/>
      <vertAlign val="subscript"/>
      <sz val="10"/>
      <name val="Arial"/>
      <family val="2"/>
    </font>
    <font>
      <sz val="10"/>
      <color indexed="10"/>
      <name val="Arial"/>
      <charset val="238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7" fillId="2" borderId="1" xfId="2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3" fontId="0" fillId="0" borderId="0" xfId="0" applyNumberFormat="1"/>
    <xf numFmtId="48" fontId="0" fillId="0" borderId="0" xfId="0" applyNumberFormat="1"/>
    <xf numFmtId="0" fontId="3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0" xfId="0" quotePrefix="1"/>
    <xf numFmtId="0" fontId="7" fillId="0" borderId="0" xfId="2" applyFont="1"/>
    <xf numFmtId="0" fontId="7" fillId="0" borderId="1" xfId="2" applyFont="1" applyBorder="1"/>
    <xf numFmtId="0" fontId="0" fillId="0" borderId="0" xfId="0" applyAlignment="1">
      <alignment horizontal="left"/>
    </xf>
    <xf numFmtId="0" fontId="8" fillId="0" borderId="0" xfId="0" applyFont="1"/>
    <xf numFmtId="0" fontId="9" fillId="0" borderId="2" xfId="2" applyFont="1" applyBorder="1"/>
    <xf numFmtId="0" fontId="5" fillId="0" borderId="0" xfId="2" applyFont="1"/>
    <xf numFmtId="0" fontId="0" fillId="0" borderId="1" xfId="0" applyBorder="1"/>
    <xf numFmtId="165" fontId="7" fillId="3" borderId="1" xfId="0" applyNumberFormat="1" applyFont="1" applyFill="1" applyBorder="1"/>
    <xf numFmtId="0" fontId="9" fillId="0" borderId="1" xfId="0" applyFont="1" applyBorder="1"/>
    <xf numFmtId="0" fontId="4" fillId="0" borderId="0" xfId="2" applyFont="1"/>
    <xf numFmtId="48" fontId="4" fillId="0" borderId="0" xfId="2" applyNumberFormat="1" applyFont="1"/>
    <xf numFmtId="48" fontId="7" fillId="0" borderId="0" xfId="2" applyNumberFormat="1" applyFont="1"/>
    <xf numFmtId="48" fontId="6" fillId="0" borderId="0" xfId="2" applyNumberFormat="1" applyFont="1"/>
    <xf numFmtId="1" fontId="7" fillId="2" borderId="1" xfId="0" applyNumberFormat="1" applyFont="1" applyFill="1" applyBorder="1"/>
    <xf numFmtId="11" fontId="7" fillId="0" borderId="1" xfId="2" applyNumberFormat="1" applyFont="1" applyBorder="1"/>
    <xf numFmtId="11" fontId="7" fillId="2" borderId="1" xfId="2" applyNumberFormat="1" applyFont="1" applyFill="1" applyBorder="1"/>
    <xf numFmtId="0" fontId="7" fillId="2" borderId="0" xfId="0" applyFont="1" applyFill="1"/>
    <xf numFmtId="0" fontId="11" fillId="0" borderId="1" xfId="0" applyFont="1" applyBorder="1"/>
    <xf numFmtId="0" fontId="0" fillId="0" borderId="0" xfId="0" applyAlignment="1">
      <alignment horizontal="center"/>
    </xf>
    <xf numFmtId="0" fontId="7" fillId="2" borderId="1" xfId="0" applyFont="1" applyFill="1" applyBorder="1" applyProtection="1">
      <protection locked="0"/>
    </xf>
    <xf numFmtId="11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11" fontId="0" fillId="4" borderId="1" xfId="0" applyNumberFormat="1" applyFill="1" applyBorder="1"/>
    <xf numFmtId="48" fontId="0" fillId="4" borderId="1" xfId="0" applyNumberFormat="1" applyFill="1" applyBorder="1"/>
    <xf numFmtId="0" fontId="0" fillId="4" borderId="0" xfId="0" applyFill="1"/>
    <xf numFmtId="2" fontId="0" fillId="4" borderId="1" xfId="0" applyNumberFormat="1" applyFill="1" applyBorder="1"/>
    <xf numFmtId="48" fontId="11" fillId="4" borderId="1" xfId="2" applyNumberFormat="1" applyFont="1" applyFill="1" applyBorder="1"/>
    <xf numFmtId="2" fontId="0" fillId="3" borderId="1" xfId="0" applyNumberFormat="1" applyFill="1" applyBorder="1"/>
    <xf numFmtId="1" fontId="0" fillId="3" borderId="1" xfId="0" applyNumberFormat="1" applyFill="1" applyBorder="1"/>
    <xf numFmtId="48" fontId="0" fillId="3" borderId="1" xfId="0" applyNumberFormat="1" applyFill="1" applyBorder="1"/>
    <xf numFmtId="11" fontId="0" fillId="3" borderId="1" xfId="0" applyNumberFormat="1" applyFill="1" applyBorder="1"/>
    <xf numFmtId="48" fontId="9" fillId="0" borderId="1" xfId="2" applyNumberFormat="1" applyFont="1" applyBorder="1"/>
    <xf numFmtId="0" fontId="13" fillId="0" borderId="0" xfId="0" applyFont="1"/>
    <xf numFmtId="0" fontId="4" fillId="0" borderId="1" xfId="0" applyFont="1" applyBorder="1" applyAlignment="1">
      <alignment horizontal="right" vertical="center"/>
    </xf>
    <xf numFmtId="2" fontId="4" fillId="3" borderId="1" xfId="0" applyNumberFormat="1" applyFont="1" applyFill="1" applyBorder="1"/>
    <xf numFmtId="0" fontId="4" fillId="0" borderId="1" xfId="0" applyFont="1" applyBorder="1" applyAlignment="1">
      <alignment horizontal="right"/>
    </xf>
    <xf numFmtId="1" fontId="4" fillId="3" borderId="1" xfId="0" applyNumberFormat="1" applyFont="1" applyFill="1" applyBorder="1"/>
    <xf numFmtId="0" fontId="7" fillId="0" borderId="0" xfId="0" applyFont="1"/>
    <xf numFmtId="0" fontId="4" fillId="0" borderId="3" xfId="0" applyFont="1" applyBorder="1" applyAlignment="1">
      <alignment horizontal="right" vertical="center"/>
    </xf>
    <xf numFmtId="2" fontId="7" fillId="3" borderId="1" xfId="0" applyNumberFormat="1" applyFont="1" applyFill="1" applyBorder="1"/>
    <xf numFmtId="0" fontId="13" fillId="3" borderId="1" xfId="0" applyFont="1" applyFill="1" applyBorder="1"/>
    <xf numFmtId="0" fontId="14" fillId="0" borderId="0" xfId="0" applyFont="1"/>
    <xf numFmtId="0" fontId="1" fillId="0" borderId="0" xfId="0" applyFont="1"/>
    <xf numFmtId="0" fontId="4" fillId="3" borderId="1" xfId="0" applyFont="1" applyFill="1" applyBorder="1"/>
    <xf numFmtId="0" fontId="7" fillId="4" borderId="1" xfId="2" applyFont="1" applyFill="1" applyBorder="1"/>
    <xf numFmtId="0" fontId="0" fillId="4" borderId="0" xfId="0" applyFill="1" applyAlignment="1">
      <alignment horizontal="left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9" fillId="0" borderId="0" xfId="0" quotePrefix="1" applyFont="1"/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0" fillId="0" borderId="0" xfId="2" applyFont="1"/>
    <xf numFmtId="0" fontId="20" fillId="0" borderId="1" xfId="2" applyFont="1" applyBorder="1"/>
    <xf numFmtId="0" fontId="20" fillId="2" borderId="1" xfId="2" applyFont="1" applyFill="1" applyBorder="1" applyAlignment="1" applyProtection="1">
      <alignment horizontal="right"/>
      <protection locked="0"/>
    </xf>
    <xf numFmtId="0" fontId="20" fillId="2" borderId="1" xfId="2" applyFont="1" applyFill="1" applyBorder="1" applyAlignment="1">
      <alignment horizontal="right"/>
    </xf>
    <xf numFmtId="0" fontId="20" fillId="2" borderId="1" xfId="0" applyFont="1" applyFill="1" applyBorder="1" applyAlignment="1" applyProtection="1">
      <alignment horizontal="right"/>
      <protection locked="0"/>
    </xf>
    <xf numFmtId="0" fontId="20" fillId="0" borderId="3" xfId="2" applyFont="1" applyBorder="1"/>
    <xf numFmtId="0" fontId="21" fillId="0" borderId="0" xfId="0" applyFont="1"/>
    <xf numFmtId="0" fontId="22" fillId="0" borderId="0" xfId="0" applyFont="1"/>
    <xf numFmtId="0" fontId="22" fillId="2" borderId="1" xfId="0" applyFont="1" applyFill="1" applyBorder="1"/>
    <xf numFmtId="0" fontId="22" fillId="0" borderId="0" xfId="0" quotePrefix="1" applyFont="1"/>
    <xf numFmtId="0" fontId="22" fillId="3" borderId="1" xfId="0" applyFont="1" applyFill="1" applyBorder="1"/>
    <xf numFmtId="11" fontId="20" fillId="4" borderId="1" xfId="2" applyNumberFormat="1" applyFont="1" applyFill="1" applyBorder="1"/>
    <xf numFmtId="11" fontId="20" fillId="0" borderId="0" xfId="2" applyNumberFormat="1" applyFont="1"/>
    <xf numFmtId="0" fontId="22" fillId="0" borderId="1" xfId="0" applyFont="1" applyBorder="1"/>
    <xf numFmtId="0" fontId="20" fillId="2" borderId="1" xfId="2" applyFont="1" applyFill="1" applyBorder="1"/>
    <xf numFmtId="0" fontId="20" fillId="0" borderId="10" xfId="2" applyFont="1" applyBorder="1"/>
    <xf numFmtId="0" fontId="20" fillId="0" borderId="2" xfId="2" applyFont="1" applyBorder="1"/>
    <xf numFmtId="2" fontId="20" fillId="3" borderId="2" xfId="2" applyNumberFormat="1" applyFont="1" applyFill="1" applyBorder="1"/>
    <xf numFmtId="48" fontId="20" fillId="0" borderId="1" xfId="2" applyNumberFormat="1" applyFont="1" applyBorder="1"/>
    <xf numFmtId="1" fontId="22" fillId="3" borderId="1" xfId="0" applyNumberFormat="1" applyFont="1" applyFill="1" applyBorder="1"/>
    <xf numFmtId="48" fontId="20" fillId="4" borderId="1" xfId="2" applyNumberFormat="1" applyFont="1" applyFill="1" applyBorder="1"/>
    <xf numFmtId="165" fontId="22" fillId="3" borderId="1" xfId="0" applyNumberFormat="1" applyFont="1" applyFill="1" applyBorder="1"/>
    <xf numFmtId="165" fontId="22" fillId="3" borderId="1" xfId="3" applyNumberFormat="1" applyFont="1" applyFill="1" applyBorder="1" applyProtection="1"/>
    <xf numFmtId="48" fontId="20" fillId="0" borderId="0" xfId="2" applyNumberFormat="1" applyFont="1"/>
    <xf numFmtId="0" fontId="20" fillId="2" borderId="2" xfId="2" applyFont="1" applyFill="1" applyBorder="1" applyProtection="1">
      <protection locked="0"/>
    </xf>
    <xf numFmtId="2" fontId="20" fillId="3" borderId="1" xfId="2" applyNumberFormat="1" applyFont="1" applyFill="1" applyBorder="1"/>
    <xf numFmtId="0" fontId="20" fillId="5" borderId="1" xfId="2" applyFont="1" applyFill="1" applyBorder="1"/>
    <xf numFmtId="1" fontId="20" fillId="2" borderId="1" xfId="2" applyNumberFormat="1" applyFont="1" applyFill="1" applyBorder="1"/>
    <xf numFmtId="1" fontId="20" fillId="0" borderId="0" xfId="2" applyNumberFormat="1" applyFont="1"/>
    <xf numFmtId="0" fontId="20" fillId="2" borderId="1" xfId="2" applyFont="1" applyFill="1" applyBorder="1" applyProtection="1">
      <protection locked="0"/>
    </xf>
    <xf numFmtId="1" fontId="20" fillId="3" borderId="1" xfId="2" applyNumberFormat="1" applyFont="1" applyFill="1" applyBorder="1"/>
    <xf numFmtId="11" fontId="20" fillId="0" borderId="1" xfId="2" applyNumberFormat="1" applyFont="1" applyBorder="1"/>
    <xf numFmtId="1" fontId="22" fillId="3" borderId="1" xfId="1" applyNumberFormat="1" applyFont="1" applyFill="1" applyBorder="1" applyProtection="1"/>
    <xf numFmtId="11" fontId="20" fillId="3" borderId="1" xfId="2" applyNumberFormat="1" applyFont="1" applyFill="1" applyBorder="1"/>
    <xf numFmtId="2" fontId="22" fillId="3" borderId="1" xfId="0" applyNumberFormat="1" applyFont="1" applyFill="1" applyBorder="1"/>
    <xf numFmtId="0" fontId="20" fillId="4" borderId="1" xfId="2" applyFont="1" applyFill="1" applyBorder="1"/>
    <xf numFmtId="165" fontId="22" fillId="3" borderId="1" xfId="1" applyNumberFormat="1" applyFont="1" applyFill="1" applyBorder="1" applyProtection="1"/>
    <xf numFmtId="165" fontId="22" fillId="4" borderId="1" xfId="0" applyNumberFormat="1" applyFont="1" applyFill="1" applyBorder="1"/>
    <xf numFmtId="0" fontId="22" fillId="4" borderId="1" xfId="0" applyFont="1" applyFill="1" applyBorder="1"/>
    <xf numFmtId="2" fontId="22" fillId="2" borderId="1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9" fontId="22" fillId="0" borderId="1" xfId="3" applyFont="1" applyFill="1" applyBorder="1" applyAlignment="1" applyProtection="1">
      <alignment horizontal="left"/>
    </xf>
    <xf numFmtId="0" fontId="13" fillId="0" borderId="0" xfId="0" applyFont="1" applyAlignment="1">
      <alignment horizontal="right"/>
    </xf>
    <xf numFmtId="0" fontId="0" fillId="3" borderId="2" xfId="0" applyFill="1" applyBorder="1" applyAlignment="1">
      <alignment horizontal="center"/>
    </xf>
    <xf numFmtId="0" fontId="7" fillId="3" borderId="1" xfId="2" applyFont="1" applyFill="1" applyBorder="1" applyProtection="1">
      <protection locked="0"/>
    </xf>
    <xf numFmtId="165" fontId="0" fillId="3" borderId="1" xfId="0" applyNumberFormat="1" applyFill="1" applyBorder="1"/>
    <xf numFmtId="0" fontId="24" fillId="0" borderId="0" xfId="0" applyFont="1"/>
    <xf numFmtId="11" fontId="22" fillId="4" borderId="1" xfId="0" applyNumberFormat="1" applyFont="1" applyFill="1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/>
    <xf numFmtId="0" fontId="9" fillId="0" borderId="1" xfId="2" applyFont="1" applyBorder="1"/>
    <xf numFmtId="1" fontId="22" fillId="4" borderId="1" xfId="0" applyNumberFormat="1" applyFont="1" applyFill="1" applyBorder="1"/>
    <xf numFmtId="2" fontId="20" fillId="4" borderId="2" xfId="2" applyNumberFormat="1" applyFont="1" applyFill="1" applyBorder="1"/>
    <xf numFmtId="165" fontId="22" fillId="4" borderId="1" xfId="3" applyNumberFormat="1" applyFont="1" applyFill="1" applyBorder="1" applyProtection="1"/>
    <xf numFmtId="0" fontId="16" fillId="0" borderId="0" xfId="0" applyFont="1"/>
    <xf numFmtId="2" fontId="16" fillId="0" borderId="0" xfId="0" applyNumberFormat="1" applyFont="1"/>
    <xf numFmtId="0" fontId="25" fillId="0" borderId="0" xfId="0" applyFont="1"/>
    <xf numFmtId="0" fontId="22" fillId="0" borderId="0" xfId="0" applyFont="1" applyProtection="1">
      <protection locked="0"/>
    </xf>
    <xf numFmtId="48" fontId="20" fillId="0" borderId="0" xfId="2" applyNumberFormat="1" applyFont="1" applyProtection="1">
      <protection locked="0"/>
    </xf>
    <xf numFmtId="0" fontId="0" fillId="2" borderId="1" xfId="0" applyFill="1" applyBorder="1" applyProtection="1">
      <protection locked="0"/>
    </xf>
    <xf numFmtId="0" fontId="22" fillId="2" borderId="1" xfId="0" applyFont="1" applyFill="1" applyBorder="1" applyProtection="1">
      <protection locked="0"/>
    </xf>
    <xf numFmtId="165" fontId="7" fillId="2" borderId="1" xfId="0" applyNumberFormat="1" applyFont="1" applyFill="1" applyBorder="1" applyProtection="1">
      <protection locked="0"/>
    </xf>
    <xf numFmtId="0" fontId="20" fillId="0" borderId="0" xfId="2" applyFont="1" applyProtection="1">
      <protection locked="0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3" borderId="17" xfId="0" applyFont="1" applyFill="1" applyBorder="1" applyAlignment="1">
      <alignment horizontal="left"/>
    </xf>
    <xf numFmtId="0" fontId="13" fillId="3" borderId="18" xfId="0" applyFont="1" applyFill="1" applyBorder="1" applyAlignment="1">
      <alignment horizontal="left"/>
    </xf>
    <xf numFmtId="0" fontId="13" fillId="3" borderId="19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Better 163_calcs" xfId="2" xr:uid="{477D185E-AC4A-4689-97FF-6954E6324299}"/>
    <cellStyle name="Percent" xfId="3" builtinId="5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Frequency (Rt)</a:t>
            </a:r>
          </a:p>
        </c:rich>
      </c:tx>
      <c:layout>
        <c:manualLayout>
          <c:xMode val="edge"/>
          <c:yMode val="edge"/>
          <c:x val="0.38842975206611569"/>
          <c:y val="1.1160726449940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70247933884298"/>
          <c:y val="8.4821521019549803E-2"/>
          <c:w val="0.85123966942148765"/>
          <c:h val="0.79464372323578236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[1]Sheet1!$G$3:$G$10</c:f>
              <c:numCache>
                <c:formatCode>General</c:formatCode>
                <c:ptCount val="8"/>
                <c:pt idx="0">
                  <c:v>4.4720000000000004</c:v>
                </c:pt>
                <c:pt idx="1">
                  <c:v>9.4710000000000001</c:v>
                </c:pt>
                <c:pt idx="2">
                  <c:v>19.95</c:v>
                </c:pt>
                <c:pt idx="3">
                  <c:v>25.2</c:v>
                </c:pt>
                <c:pt idx="4">
                  <c:v>49.9</c:v>
                </c:pt>
                <c:pt idx="5">
                  <c:v>100</c:v>
                </c:pt>
                <c:pt idx="6">
                  <c:v>250</c:v>
                </c:pt>
                <c:pt idx="7">
                  <c:v>500</c:v>
                </c:pt>
              </c:numCache>
            </c:numRef>
          </c:xVal>
          <c:yVal>
            <c:numRef>
              <c:f>[1]Sheet1!$H$3:$H$10</c:f>
              <c:numCache>
                <c:formatCode>General</c:formatCode>
                <c:ptCount val="8"/>
                <c:pt idx="0">
                  <c:v>756</c:v>
                </c:pt>
                <c:pt idx="1">
                  <c:v>393.5</c:v>
                </c:pt>
                <c:pt idx="2">
                  <c:v>199.5</c:v>
                </c:pt>
                <c:pt idx="3">
                  <c:v>159.30000000000001</c:v>
                </c:pt>
                <c:pt idx="4">
                  <c:v>81.3</c:v>
                </c:pt>
                <c:pt idx="5">
                  <c:v>40.950000000000003</c:v>
                </c:pt>
                <c:pt idx="6">
                  <c:v>16.079999999999998</c:v>
                </c:pt>
                <c:pt idx="7">
                  <c:v>7.68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61-4ACF-9F6A-17FEB07C1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603247"/>
        <c:axId val="1"/>
      </c:scatterChart>
      <c:valAx>
        <c:axId val="1959603247"/>
        <c:scaling>
          <c:orientation val="minMax"/>
          <c:max val="25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Rt [k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W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0.49586776859504134"/>
              <c:y val="0.93750102179502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 [kHz]</a:t>
                </a:r>
              </a:p>
            </c:rich>
          </c:tx>
          <c:layout>
            <c:manualLayout>
              <c:xMode val="edge"/>
              <c:yMode val="edge"/>
              <c:x val="8.2644628099173556E-3"/>
              <c:y val="0.42857189567772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9603247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7</xdr:row>
          <xdr:rowOff>123825</xdr:rowOff>
        </xdr:from>
        <xdr:to>
          <xdr:col>11</xdr:col>
          <xdr:colOff>247650</xdr:colOff>
          <xdr:row>28</xdr:row>
          <xdr:rowOff>152400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113</xdr:row>
      <xdr:rowOff>0</xdr:rowOff>
    </xdr:from>
    <xdr:to>
      <xdr:col>12</xdr:col>
      <xdr:colOff>552450</xdr:colOff>
      <xdr:row>124</xdr:row>
      <xdr:rowOff>104775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EB5BD8BD-2D7F-3F51-BDF2-DAEDA1997304}"/>
            </a:ext>
          </a:extLst>
        </xdr:cNvPr>
        <xdr:cNvGrpSpPr>
          <a:grpSpLocks/>
        </xdr:cNvGrpSpPr>
      </xdr:nvGrpSpPr>
      <xdr:grpSpPr bwMode="auto">
        <a:xfrm>
          <a:off x="7858125" y="10629900"/>
          <a:ext cx="2933700" cy="1400175"/>
          <a:chOff x="107" y="143"/>
          <a:chExt cx="278" cy="77"/>
        </a:xfrm>
      </xdr:grpSpPr>
      <xdr:sp macro="" textlink="">
        <xdr:nvSpPr>
          <xdr:cNvPr id="1026" name="Line 2">
            <a:extLst>
              <a:ext uri="{FF2B5EF4-FFF2-40B4-BE49-F238E27FC236}">
                <a16:creationId xmlns:a16="http://schemas.microsoft.com/office/drawing/2014/main" id="{F7FDBCF7-2F7E-8740-73B3-8DCF2865D91D}"/>
              </a:ext>
            </a:extLst>
          </xdr:cNvPr>
          <xdr:cNvSpPr>
            <a:spLocks noChangeShapeType="1"/>
          </xdr:cNvSpPr>
        </xdr:nvSpPr>
        <xdr:spPr bwMode="auto">
          <a:xfrm flipV="1">
            <a:off x="129" y="170"/>
            <a:ext cx="63" cy="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7" name="Line 3">
            <a:extLst>
              <a:ext uri="{FF2B5EF4-FFF2-40B4-BE49-F238E27FC236}">
                <a16:creationId xmlns:a16="http://schemas.microsoft.com/office/drawing/2014/main" id="{DB99F152-4D5B-09D9-F96D-0CC5224CA2B7}"/>
              </a:ext>
            </a:extLst>
          </xdr:cNvPr>
          <xdr:cNvSpPr>
            <a:spLocks noChangeShapeType="1"/>
          </xdr:cNvSpPr>
        </xdr:nvSpPr>
        <xdr:spPr bwMode="auto">
          <a:xfrm>
            <a:off x="192" y="170"/>
            <a:ext cx="65" cy="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8" name="Line 4">
            <a:extLst>
              <a:ext uri="{FF2B5EF4-FFF2-40B4-BE49-F238E27FC236}">
                <a16:creationId xmlns:a16="http://schemas.microsoft.com/office/drawing/2014/main" id="{9A9C54B9-AA78-348E-85D7-422182ECB9FD}"/>
              </a:ext>
            </a:extLst>
          </xdr:cNvPr>
          <xdr:cNvSpPr>
            <a:spLocks noChangeShapeType="1"/>
          </xdr:cNvSpPr>
        </xdr:nvSpPr>
        <xdr:spPr bwMode="auto">
          <a:xfrm flipV="1">
            <a:off x="257" y="170"/>
            <a:ext cx="63" cy="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57F5551F-A33D-97E2-78F5-E1F61C26323E}"/>
              </a:ext>
            </a:extLst>
          </xdr:cNvPr>
          <xdr:cNvSpPr>
            <a:spLocks noChangeShapeType="1"/>
          </xdr:cNvSpPr>
        </xdr:nvSpPr>
        <xdr:spPr bwMode="auto">
          <a:xfrm>
            <a:off x="320" y="170"/>
            <a:ext cx="65" cy="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0" name="Line 6">
            <a:extLst>
              <a:ext uri="{FF2B5EF4-FFF2-40B4-BE49-F238E27FC236}">
                <a16:creationId xmlns:a16="http://schemas.microsoft.com/office/drawing/2014/main" id="{CB5A6F4B-5CD0-9445-C18B-6413701F10A3}"/>
              </a:ext>
            </a:extLst>
          </xdr:cNvPr>
          <xdr:cNvSpPr>
            <a:spLocks noChangeShapeType="1"/>
          </xdr:cNvSpPr>
        </xdr:nvSpPr>
        <xdr:spPr bwMode="auto">
          <a:xfrm>
            <a:off x="128" y="187"/>
            <a:ext cx="256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808080" mc:Ignorable="a14" a14:legacySpreadsheetColorIndex="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4F2D7A34-6BA4-31DD-34B8-9A27CD657A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" y="144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r>
              <a:rPr lang="en-US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L,avg</a:t>
            </a: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=I</a:t>
            </a:r>
            <a:r>
              <a:rPr lang="en-US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out</a:t>
            </a:r>
          </a:p>
        </xdr:txBody>
      </xdr: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C8263849-0E28-AAE6-EA46-8A2F301358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0" y="143"/>
            <a:ext cx="3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r>
              <a:rPr lang="en-US" sz="1000" b="0" i="1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L</a:t>
            </a:r>
          </a:p>
        </xdr:txBody>
      </xdr:sp>
      <xdr:sp macro="" textlink="">
        <xdr:nvSpPr>
          <xdr:cNvPr id="1033" name="Line 9">
            <a:extLst>
              <a:ext uri="{FF2B5EF4-FFF2-40B4-BE49-F238E27FC236}">
                <a16:creationId xmlns:a16="http://schemas.microsoft.com/office/drawing/2014/main" id="{E2205151-F1A2-6BE5-D439-7458FC2B4DD5}"/>
              </a:ext>
            </a:extLst>
          </xdr:cNvPr>
          <xdr:cNvSpPr>
            <a:spLocks noChangeShapeType="1"/>
          </xdr:cNvSpPr>
        </xdr:nvSpPr>
        <xdr:spPr bwMode="auto">
          <a:xfrm>
            <a:off x="164" y="157"/>
            <a:ext cx="21" cy="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4" name="Line 10">
            <a:extLst>
              <a:ext uri="{FF2B5EF4-FFF2-40B4-BE49-F238E27FC236}">
                <a16:creationId xmlns:a16="http://schemas.microsoft.com/office/drawing/2014/main" id="{F6EC44CF-C27F-005C-2231-61660426E889}"/>
              </a:ext>
            </a:extLst>
          </xdr:cNvPr>
          <xdr:cNvSpPr>
            <a:spLocks noChangeShapeType="1"/>
          </xdr:cNvSpPr>
        </xdr:nvSpPr>
        <xdr:spPr bwMode="auto">
          <a:xfrm>
            <a:off x="239" y="162"/>
            <a:ext cx="7" cy="2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184F5DA-FD07-682D-E501-14F610437A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" y="175"/>
            <a:ext cx="3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∆i</a:t>
            </a:r>
            <a:r>
              <a:rPr lang="en-US" sz="1000" b="0" i="0" u="none" strike="noStrike" baseline="-25000">
                <a:solidFill>
                  <a:srgbClr val="000000"/>
                </a:solidFill>
                <a:latin typeface="Times New Roman"/>
                <a:cs typeface="Times New Roman"/>
              </a:rPr>
              <a:t>L</a:t>
            </a:r>
          </a:p>
        </xdr:txBody>
      </xdr:sp>
      <xdr:sp macro="" textlink="">
        <xdr:nvSpPr>
          <xdr:cNvPr id="1036" name="Line 12">
            <a:extLst>
              <a:ext uri="{FF2B5EF4-FFF2-40B4-BE49-F238E27FC236}">
                <a16:creationId xmlns:a16="http://schemas.microsoft.com/office/drawing/2014/main" id="{632DCAC4-6A24-9DA7-4A6A-9EAC40A2AD81}"/>
              </a:ext>
            </a:extLst>
          </xdr:cNvPr>
          <xdr:cNvSpPr>
            <a:spLocks noChangeShapeType="1"/>
          </xdr:cNvSpPr>
        </xdr:nvSpPr>
        <xdr:spPr bwMode="auto">
          <a:xfrm>
            <a:off x="119" y="154"/>
            <a:ext cx="0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CEAB16D0-9ED0-ED47-4D2B-19972065CD76}"/>
              </a:ext>
            </a:extLst>
          </xdr:cNvPr>
          <xdr:cNvSpPr>
            <a:spLocks noChangeShapeType="1"/>
          </xdr:cNvSpPr>
        </xdr:nvSpPr>
        <xdr:spPr bwMode="auto">
          <a:xfrm flipV="1">
            <a:off x="119" y="202"/>
            <a:ext cx="0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8" name="Line 14">
            <a:extLst>
              <a:ext uri="{FF2B5EF4-FFF2-40B4-BE49-F238E27FC236}">
                <a16:creationId xmlns:a16="http://schemas.microsoft.com/office/drawing/2014/main" id="{DA27DDA5-905D-D2C1-854B-3F809A4FF444}"/>
              </a:ext>
            </a:extLst>
          </xdr:cNvPr>
          <xdr:cNvSpPr>
            <a:spLocks noChangeShapeType="1"/>
          </xdr:cNvSpPr>
        </xdr:nvSpPr>
        <xdr:spPr bwMode="auto">
          <a:xfrm flipV="1">
            <a:off x="110" y="170"/>
            <a:ext cx="273" cy="1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9" name="Line 15">
            <a:extLst>
              <a:ext uri="{FF2B5EF4-FFF2-40B4-BE49-F238E27FC236}">
                <a16:creationId xmlns:a16="http://schemas.microsoft.com/office/drawing/2014/main" id="{DC35A711-C022-2561-7890-CA5D0A0CFEEE}"/>
              </a:ext>
            </a:extLst>
          </xdr:cNvPr>
          <xdr:cNvSpPr>
            <a:spLocks noChangeShapeType="1"/>
          </xdr:cNvSpPr>
        </xdr:nvSpPr>
        <xdr:spPr bwMode="auto">
          <a:xfrm>
            <a:off x="110" y="204"/>
            <a:ext cx="274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57150</xdr:colOff>
      <xdr:row>1</xdr:row>
      <xdr:rowOff>38100</xdr:rowOff>
    </xdr:from>
    <xdr:to>
      <xdr:col>8</xdr:col>
      <xdr:colOff>57150</xdr:colOff>
      <xdr:row>24</xdr:row>
      <xdr:rowOff>114300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2FAE088D-33C2-2331-4B0C-6CDC8213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5" b="238"/>
        <a:stretch>
          <a:fillRect/>
        </a:stretch>
      </xdr:blipFill>
      <xdr:spPr bwMode="auto">
        <a:xfrm>
          <a:off x="57150" y="257175"/>
          <a:ext cx="6724650" cy="401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76200</xdr:colOff>
      <xdr:row>27</xdr:row>
      <xdr:rowOff>114300</xdr:rowOff>
    </xdr:from>
    <xdr:to>
      <xdr:col>22</xdr:col>
      <xdr:colOff>314325</xdr:colOff>
      <xdr:row>88</xdr:row>
      <xdr:rowOff>9525</xdr:rowOff>
    </xdr:to>
    <xdr:graphicFrame macro="">
      <xdr:nvGraphicFramePr>
        <xdr:cNvPr id="1095" name="Chart 71">
          <a:extLst>
            <a:ext uri="{FF2B5EF4-FFF2-40B4-BE49-F238E27FC236}">
              <a16:creationId xmlns:a16="http://schemas.microsoft.com/office/drawing/2014/main" id="{C60AF66E-5DF8-8AAA-F417-518C634AE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15</xdr:row>
      <xdr:rowOff>114300</xdr:rowOff>
    </xdr:from>
    <xdr:to>
      <xdr:col>13</xdr:col>
      <xdr:colOff>581025</xdr:colOff>
      <xdr:row>28</xdr:row>
      <xdr:rowOff>66675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D0BA9A9E-B584-4153-A1C4-9B847465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2609850"/>
          <a:ext cx="2381250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428625</xdr:colOff>
      <xdr:row>28</xdr:row>
      <xdr:rowOff>142875</xdr:rowOff>
    </xdr:from>
    <xdr:to>
      <xdr:col>14</xdr:col>
      <xdr:colOff>295275</xdr:colOff>
      <xdr:row>43</xdr:row>
      <xdr:rowOff>38100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5758E2C0-8DC1-AC2D-38AB-EE082298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743450"/>
          <a:ext cx="2914650" cy="2343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FFT3ZN/Local%20Settings/Temporary%20Internet%20Files/OLK25/NCP1034%20frequency(Rt).xls" TargetMode="External"/><Relationship Id="rId1" Type="http://schemas.openxmlformats.org/officeDocument/2006/relationships/externalLinkPath" Target="/Documents%20and%20Settings/FFT3ZN/Local%20Settings/Temporary%20Internet%20Files/OLK25/NCP1034%20frequency(R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</sheetNames>
    <sheetDataSet>
      <sheetData sheetId="0">
        <row r="3">
          <cell r="G3">
            <v>4.4720000000000004</v>
          </cell>
          <cell r="H3">
            <v>756</v>
          </cell>
        </row>
        <row r="4">
          <cell r="G4">
            <v>9.4710000000000001</v>
          </cell>
          <cell r="H4">
            <v>393.5</v>
          </cell>
        </row>
        <row r="5">
          <cell r="G5">
            <v>19.95</v>
          </cell>
          <cell r="H5">
            <v>199.5</v>
          </cell>
        </row>
        <row r="6">
          <cell r="G6">
            <v>25.2</v>
          </cell>
          <cell r="H6">
            <v>159.30000000000001</v>
          </cell>
        </row>
        <row r="7">
          <cell r="G7">
            <v>49.9</v>
          </cell>
          <cell r="H7">
            <v>81.3</v>
          </cell>
        </row>
        <row r="8">
          <cell r="G8">
            <v>100</v>
          </cell>
          <cell r="H8">
            <v>40.950000000000003</v>
          </cell>
        </row>
        <row r="9">
          <cell r="G9">
            <v>250</v>
          </cell>
          <cell r="H9">
            <v>16.079999999999998</v>
          </cell>
        </row>
        <row r="10">
          <cell r="G10">
            <v>500</v>
          </cell>
          <cell r="H10">
            <v>7.68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PowerPoint_97-2003_Presentation.ppt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64B7-F788-463D-97C6-27535690F06F}">
  <sheetPr codeName="Sheet4"/>
  <dimension ref="C6"/>
  <sheetViews>
    <sheetView showGridLines="0" workbookViewId="0">
      <selection activeCell="C47" sqref="C47"/>
    </sheetView>
  </sheetViews>
  <sheetFormatPr defaultRowHeight="12.75" x14ac:dyDescent="0.2"/>
  <sheetData>
    <row r="6" spans="3:3" ht="18" x14ac:dyDescent="0.25">
      <c r="C6" s="138" t="s">
        <v>380</v>
      </c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esentation" shapeId="3075" r:id="rId4">
          <objectPr defaultSize="0" r:id="rId5">
            <anchor moveWithCells="1">
              <from>
                <xdr:col>3</xdr:col>
                <xdr:colOff>552450</xdr:colOff>
                <xdr:row>7</xdr:row>
                <xdr:rowOff>123825</xdr:rowOff>
              </from>
              <to>
                <xdr:col>11</xdr:col>
                <xdr:colOff>247650</xdr:colOff>
                <xdr:row>28</xdr:row>
                <xdr:rowOff>152400</xdr:rowOff>
              </to>
            </anchor>
          </objectPr>
        </oleObject>
      </mc:Choice>
      <mc:Fallback>
        <oleObject progId="Presentati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A740-BE0B-4362-8078-0E1EB810C8F0}">
  <sheetPr codeName="Sheet1">
    <pageSetUpPr fitToPage="1"/>
  </sheetPr>
  <dimension ref="A1:AD242"/>
  <sheetViews>
    <sheetView showGridLines="0" tabSelected="1" zoomScaleNormal="100" workbookViewId="0">
      <selection activeCell="B34" sqref="B34"/>
    </sheetView>
  </sheetViews>
  <sheetFormatPr defaultRowHeight="12.75" x14ac:dyDescent="0.2"/>
  <cols>
    <col min="1" max="1" width="19.42578125" style="79" customWidth="1"/>
    <col min="2" max="2" width="15.7109375" style="79" customWidth="1"/>
    <col min="3" max="3" width="9.140625" style="79"/>
    <col min="4" max="4" width="12.140625" customWidth="1"/>
    <col min="5" max="6" width="9.28515625" customWidth="1"/>
    <col min="7" max="7" width="9.85546875" customWidth="1"/>
    <col min="8" max="8" width="16" customWidth="1"/>
    <col min="9" max="10" width="16.28515625" customWidth="1"/>
    <col min="11" max="11" width="11" customWidth="1"/>
    <col min="21" max="21" width="9.5703125" bestFit="1" customWidth="1"/>
    <col min="22" max="22" width="9.28515625" bestFit="1" customWidth="1"/>
    <col min="23" max="23" width="10" customWidth="1"/>
    <col min="24" max="24" width="9.28515625" bestFit="1" customWidth="1"/>
    <col min="28" max="28" width="9.28515625" bestFit="1" customWidth="1"/>
  </cols>
  <sheetData>
    <row r="1" spans="1:30" ht="17.25" customHeight="1" x14ac:dyDescent="0.3">
      <c r="A1" s="78" t="s">
        <v>62</v>
      </c>
    </row>
    <row r="2" spans="1:30" ht="26.25" customHeight="1" x14ac:dyDescent="0.2"/>
    <row r="4" spans="1:30" ht="15.75" x14ac:dyDescent="0.25">
      <c r="K4" s="147" t="s">
        <v>133</v>
      </c>
      <c r="L4" s="147"/>
      <c r="M4" s="147"/>
      <c r="Q4" s="55">
        <f ca="1">IF('Compensation II (PI)'!B19=1,1,IF('Compensation III (PID) Method I'!B19=1,2,IF('Compensation III (PID) Metod II'!B19=1,3,1)))</f>
        <v>3</v>
      </c>
    </row>
    <row r="5" spans="1:30" x14ac:dyDescent="0.2">
      <c r="M5" t="s">
        <v>20</v>
      </c>
      <c r="N5" s="46"/>
      <c r="O5" s="46"/>
    </row>
    <row r="6" spans="1:30" x14ac:dyDescent="0.2">
      <c r="K6" s="47" t="s">
        <v>49</v>
      </c>
      <c r="L6" s="48">
        <f ca="1">B118</f>
        <v>12.950290899225273</v>
      </c>
      <c r="M6" s="20" t="s">
        <v>45</v>
      </c>
    </row>
    <row r="7" spans="1:30" x14ac:dyDescent="0.2">
      <c r="K7" s="47" t="s">
        <v>115</v>
      </c>
      <c r="L7" s="48">
        <f>B120</f>
        <v>12.6</v>
      </c>
      <c r="M7" s="18" t="s">
        <v>46</v>
      </c>
    </row>
    <row r="8" spans="1:30" x14ac:dyDescent="0.2">
      <c r="K8" s="47" t="s">
        <v>117</v>
      </c>
      <c r="L8" s="57">
        <f>B143</f>
        <v>140</v>
      </c>
      <c r="M8" s="20" t="s">
        <v>56</v>
      </c>
      <c r="O8" s="56"/>
    </row>
    <row r="9" spans="1:30" x14ac:dyDescent="0.2">
      <c r="K9" s="47" t="s">
        <v>118</v>
      </c>
      <c r="L9" s="50">
        <f>B144</f>
        <v>3</v>
      </c>
      <c r="M9" s="18" t="s">
        <v>46</v>
      </c>
    </row>
    <row r="10" spans="1:30" x14ac:dyDescent="0.2">
      <c r="K10" s="47" t="s">
        <v>116</v>
      </c>
      <c r="L10" s="48">
        <f>B127</f>
        <v>2.4301034432870372</v>
      </c>
      <c r="M10" s="20" t="s">
        <v>56</v>
      </c>
    </row>
    <row r="11" spans="1:30" x14ac:dyDescent="0.2">
      <c r="K11" s="47" t="s">
        <v>119</v>
      </c>
      <c r="L11" s="48">
        <f>B165</f>
        <v>225</v>
      </c>
      <c r="M11" s="18" t="s">
        <v>61</v>
      </c>
    </row>
    <row r="12" spans="1:30" x14ac:dyDescent="0.2">
      <c r="K12" s="47" t="s">
        <v>48</v>
      </c>
      <c r="L12" s="48">
        <f ca="1">B43</f>
        <v>19.922992268041238</v>
      </c>
      <c r="M12" s="18" t="s">
        <v>47</v>
      </c>
    </row>
    <row r="13" spans="1:30" x14ac:dyDescent="0.2">
      <c r="K13" s="47" t="s">
        <v>59</v>
      </c>
      <c r="L13" s="48">
        <f>B172</f>
        <v>11</v>
      </c>
      <c r="M13" s="18" t="s">
        <v>47</v>
      </c>
    </row>
    <row r="14" spans="1:30" x14ac:dyDescent="0.2">
      <c r="K14" s="52" t="s">
        <v>123</v>
      </c>
      <c r="L14" s="48">
        <f>B170</f>
        <v>10</v>
      </c>
      <c r="M14" s="18" t="s">
        <v>47</v>
      </c>
    </row>
    <row r="15" spans="1:30" x14ac:dyDescent="0.2">
      <c r="G15" s="7"/>
      <c r="K15" s="47" t="s">
        <v>60</v>
      </c>
      <c r="L15" s="48">
        <v>220</v>
      </c>
      <c r="M15" s="18" t="s">
        <v>61</v>
      </c>
    </row>
    <row r="16" spans="1:30" x14ac:dyDescent="0.2">
      <c r="G16" s="7"/>
      <c r="K16" s="49" t="s">
        <v>92</v>
      </c>
      <c r="L16" s="48">
        <f ca="1">IF($Q$4=1,'Compensation II (PI)'!B47/1000,IF($Q$4=2,'Compensation III (PID) Method I'!B46,'Compensation III (PID) Metod II'!B56))</f>
        <v>16.899999999999999</v>
      </c>
      <c r="M16" s="18" t="s">
        <v>47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</row>
    <row r="17" spans="1:30" x14ac:dyDescent="0.2">
      <c r="G17" s="7"/>
      <c r="K17" s="49" t="s">
        <v>58</v>
      </c>
      <c r="L17" s="48">
        <f ca="1">IF($Q$4=1,'Compensation II (PI)'!B41/1000,IF($Q$4=2,'Compensation III (PID) Method I'!B48,'Compensation III (PID) Metod II'!B57))</f>
        <v>5.6</v>
      </c>
      <c r="M17" s="18" t="s">
        <v>47</v>
      </c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</row>
    <row r="18" spans="1:30" x14ac:dyDescent="0.2">
      <c r="K18" s="47" t="s">
        <v>132</v>
      </c>
      <c r="L18" s="54">
        <f>B183</f>
        <v>110</v>
      </c>
      <c r="M18" s="18" t="s">
        <v>47</v>
      </c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</row>
    <row r="19" spans="1:30" x14ac:dyDescent="0.2">
      <c r="K19" s="52" t="s">
        <v>131</v>
      </c>
      <c r="L19" s="54">
        <f>B181</f>
        <v>3.9</v>
      </c>
      <c r="M19" s="18" t="s">
        <v>47</v>
      </c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</row>
    <row r="20" spans="1:30" x14ac:dyDescent="0.2">
      <c r="K20" s="49" t="s">
        <v>57</v>
      </c>
      <c r="L20" s="48">
        <f ca="1">IF($Q$4=1,'Compensation II (PI)'!B32/1000,IF($Q$4=2,'Compensation III (PID) Method I'!B37/1000,'Compensation III (PID) Metod II'!B39/1000))</f>
        <v>4.7</v>
      </c>
      <c r="M20" s="18" t="s">
        <v>47</v>
      </c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</row>
    <row r="21" spans="1:30" x14ac:dyDescent="0.2">
      <c r="K21" s="49" t="s">
        <v>88</v>
      </c>
      <c r="L21" s="48">
        <f ca="1">IF($Q$4=1,'Compensation II (PI)'!B33,IF($Q$4=2,'Compensation III (PID) Method I'!B38,'Compensation III (PID) Metod II'!B40))</f>
        <v>12.637751784993331</v>
      </c>
      <c r="M21" s="18" t="s">
        <v>61</v>
      </c>
      <c r="N21" t="str">
        <f ca="1">IF(Q4=1,"&lt;-- Optional","")</f>
        <v/>
      </c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</row>
    <row r="22" spans="1:30" x14ac:dyDescent="0.2">
      <c r="K22" s="49" t="s">
        <v>89</v>
      </c>
      <c r="L22" s="50">
        <f ca="1">IF($Q$4=1,'Compensation II (PI)'!B35,IF($Q$4=2,'Compensation III (PID) Method I'!B40,'Compensation III (PID) Metod II'!B42))</f>
        <v>338.62753849339435</v>
      </c>
      <c r="M22" s="18" t="s">
        <v>104</v>
      </c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</row>
    <row r="23" spans="1:30" x14ac:dyDescent="0.2">
      <c r="K23" s="49" t="s">
        <v>91</v>
      </c>
      <c r="L23" s="48">
        <f ca="1">IF($Q$4=1,"Not Used",IF($Q$4=2,'Compensation III (PID) Method I'!B63,'Compensation III (PID) Metod II'!B65))</f>
        <v>1.0556847900062885</v>
      </c>
      <c r="M23" s="18" t="s">
        <v>47</v>
      </c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</row>
    <row r="24" spans="1:30" x14ac:dyDescent="0.2">
      <c r="K24" s="49" t="s">
        <v>90</v>
      </c>
      <c r="L24" s="50">
        <f ca="1">IF($Q$4=1,"Not Used",IF($Q$4=2,'Compensation III (PID) Method I'!B61,'Compensation III (PID) Metod II'!B63))</f>
        <v>2019.7997961418307</v>
      </c>
      <c r="M24" s="18" t="s">
        <v>104</v>
      </c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</row>
    <row r="25" spans="1:30" x14ac:dyDescent="0.2"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</row>
    <row r="26" spans="1:30" x14ac:dyDescent="0.2">
      <c r="A26" s="8" t="s">
        <v>19</v>
      </c>
      <c r="B26" s="9"/>
      <c r="K26" s="148" t="s">
        <v>120</v>
      </c>
      <c r="L26" s="148"/>
      <c r="M26" s="149" t="str">
        <f ca="1">IF('Compensation II (PI)'!B19=1,"Compensation II (PI)",IF('Compensation III (PID) Method I'!B19=1,"Compensation: III (PID) Method I",IF('Compensation III (PID) Metod II'!B19=1,"Compensation: III (PID) Method II","There is not suitable values for any compensation")))</f>
        <v>Compensation: III (PID) Method II</v>
      </c>
      <c r="N26" s="150"/>
      <c r="O26" s="150"/>
      <c r="P26" s="151"/>
      <c r="S26" s="127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27"/>
    </row>
    <row r="27" spans="1:30" x14ac:dyDescent="0.2">
      <c r="A27" s="10"/>
      <c r="S27" s="127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27"/>
    </row>
    <row r="28" spans="1:30" x14ac:dyDescent="0.2">
      <c r="A28" s="80" t="s">
        <v>54</v>
      </c>
      <c r="B28" s="81" t="s">
        <v>16</v>
      </c>
      <c r="C28" s="79" t="s">
        <v>53</v>
      </c>
      <c r="S28" s="127"/>
      <c r="T28" s="136"/>
      <c r="U28" s="136" t="s">
        <v>139</v>
      </c>
      <c r="V28" s="136" t="s">
        <v>140</v>
      </c>
      <c r="W28" s="136" t="s">
        <v>139</v>
      </c>
      <c r="X28" s="136" t="s">
        <v>140</v>
      </c>
      <c r="Y28" s="136"/>
      <c r="Z28" s="136"/>
      <c r="AA28" s="136"/>
      <c r="AB28" s="136"/>
      <c r="AC28" s="136"/>
      <c r="AD28" s="127"/>
    </row>
    <row r="29" spans="1:30" x14ac:dyDescent="0.2">
      <c r="A29" s="82"/>
      <c r="B29" s="81" t="s">
        <v>43</v>
      </c>
      <c r="C29" s="81"/>
      <c r="S29" s="127"/>
      <c r="T29" s="136"/>
      <c r="U29" s="137">
        <v>1</v>
      </c>
      <c r="V29" s="137">
        <v>2033</v>
      </c>
      <c r="W29" s="137">
        <v>100000</v>
      </c>
      <c r="X29" s="137">
        <v>4.5999999999999999E-2</v>
      </c>
      <c r="Y29" s="136"/>
      <c r="Z29" s="136"/>
      <c r="AA29" s="136" t="s">
        <v>141</v>
      </c>
      <c r="AB29" s="136">
        <f>B41</f>
        <v>200</v>
      </c>
      <c r="AC29" s="136" t="s">
        <v>64</v>
      </c>
      <c r="AD29" s="127"/>
    </row>
    <row r="30" spans="1:30" x14ac:dyDescent="0.2">
      <c r="S30" s="127"/>
      <c r="T30" s="136"/>
      <c r="U30" s="137">
        <v>2.1150000000000002</v>
      </c>
      <c r="V30" s="137">
        <v>1374</v>
      </c>
      <c r="W30" s="137">
        <v>50000</v>
      </c>
      <c r="X30" s="137">
        <v>9.2999999999999999E-2</v>
      </c>
      <c r="Y30" s="136"/>
      <c r="Z30" s="136"/>
      <c r="AA30" s="136" t="s">
        <v>142</v>
      </c>
      <c r="AB30" s="136">
        <f ca="1">INDIRECT(ADDRESS(MATCH(AB29,V29:V47,-1)+ROW(U29),COLUMN(U29)))</f>
        <v>19.95</v>
      </c>
      <c r="AC30" s="136"/>
      <c r="AD30" s="127"/>
    </row>
    <row r="31" spans="1:30" x14ac:dyDescent="0.2">
      <c r="S31" s="127"/>
      <c r="T31" s="136"/>
      <c r="U31" s="137"/>
      <c r="V31" s="137"/>
      <c r="W31" s="137"/>
      <c r="X31" s="137"/>
      <c r="Y31" s="136"/>
      <c r="Z31" s="136"/>
      <c r="AA31" s="136"/>
      <c r="AB31" s="136"/>
      <c r="AC31" s="136"/>
      <c r="AD31" s="127"/>
    </row>
    <row r="32" spans="1:30" x14ac:dyDescent="0.2">
      <c r="A32" s="18" t="s">
        <v>310</v>
      </c>
      <c r="B32" s="141">
        <v>60</v>
      </c>
      <c r="C32" s="18" t="s">
        <v>0</v>
      </c>
      <c r="D32" s="145" t="str">
        <f>IF(OR(B32&lt;12,B32&gt;100),"&lt;-- Input voltage is out of range!","&lt;-- Worst Case Input Voltage (Vin max)")</f>
        <v>&lt;-- Worst Case Input Voltage (Vin max)</v>
      </c>
      <c r="E32" s="146"/>
      <c r="F32" s="146"/>
      <c r="G32" s="146"/>
      <c r="H32" s="10" t="s">
        <v>381</v>
      </c>
      <c r="I32" s="51"/>
      <c r="S32" s="127"/>
      <c r="T32" s="136"/>
      <c r="U32" s="137"/>
      <c r="V32" s="137"/>
      <c r="W32" s="137"/>
      <c r="X32" s="137"/>
      <c r="Y32" s="136"/>
      <c r="Z32" s="136"/>
      <c r="AA32" s="136"/>
      <c r="AB32" s="136"/>
      <c r="AC32" s="136"/>
      <c r="AD32" s="127"/>
    </row>
    <row r="33" spans="1:30" x14ac:dyDescent="0.2">
      <c r="A33" s="13" t="s">
        <v>311</v>
      </c>
      <c r="B33" s="1">
        <v>38</v>
      </c>
      <c r="C33" s="13" t="s">
        <v>0</v>
      </c>
      <c r="D33" s="145" t="str">
        <f>IF(OR(B33&lt;10,B33&gt;100),"&lt;-- Input voltage is out of range!",IF(B33&gt;B32,"&lt;-- VINmax must be higher than VINmin","&lt;-- Worst Case Input Voltage (Vin min)"))</f>
        <v>&lt;-- Worst Case Input Voltage (Vin min)</v>
      </c>
      <c r="E33" s="146"/>
      <c r="F33" s="146"/>
      <c r="G33" s="146"/>
      <c r="H33" s="10" t="s">
        <v>381</v>
      </c>
      <c r="I33" s="51"/>
      <c r="S33" s="127"/>
      <c r="T33" s="136"/>
      <c r="U33" s="137">
        <v>4.4800000000000004</v>
      </c>
      <c r="V33" s="137">
        <v>756</v>
      </c>
      <c r="W33" s="137">
        <v>25000</v>
      </c>
      <c r="X33" s="137">
        <v>0.185</v>
      </c>
      <c r="Y33" s="136"/>
      <c r="Z33" s="136"/>
      <c r="AA33" s="136" t="s">
        <v>143</v>
      </c>
      <c r="AB33" s="136">
        <f ca="1">INDIRECT(ADDRESS(MATCH(AB29,X29:X47,1)+ROW(W29),COLUMN(W29)))</f>
        <v>9.4710000000000001</v>
      </c>
      <c r="AC33" s="136"/>
      <c r="AD33" s="127"/>
    </row>
    <row r="34" spans="1:30" x14ac:dyDescent="0.2">
      <c r="A34" s="13" t="s">
        <v>2</v>
      </c>
      <c r="B34" s="1">
        <v>48</v>
      </c>
      <c r="C34" s="13" t="s">
        <v>0</v>
      </c>
      <c r="D34" s="145" t="str">
        <f>IF(OR(B34&lt;12,B34&gt;100),"&lt;-- Input voltage is out of range!",IF(B34&lt;B33,"&lt;-- VIN must be higher than VINmin","&lt;-- Typical Input Voltage"))</f>
        <v>&lt;-- Typical Input Voltage</v>
      </c>
      <c r="E34" s="146"/>
      <c r="F34" s="146"/>
      <c r="G34" s="146"/>
      <c r="H34" s="10" t="s">
        <v>381</v>
      </c>
      <c r="I34" s="51"/>
      <c r="S34" s="127"/>
      <c r="T34" s="136"/>
      <c r="U34" s="137">
        <v>9.4710000000000001</v>
      </c>
      <c r="V34" s="137">
        <v>393.5</v>
      </c>
      <c r="W34" s="137">
        <v>10000</v>
      </c>
      <c r="X34" s="137">
        <v>0.45900000000000002</v>
      </c>
      <c r="Y34" s="136"/>
      <c r="Z34" s="136"/>
      <c r="AA34" s="136" t="s">
        <v>144</v>
      </c>
      <c r="AB34" s="136">
        <f ca="1">INDIRECT(ADDRESS(MATCH(AB29,V29:V47,-1)+ROW(U29),COLUMN(V29)))</f>
        <v>199.5</v>
      </c>
      <c r="AC34" s="136"/>
      <c r="AD34" s="127"/>
    </row>
    <row r="35" spans="1:30" x14ac:dyDescent="0.2">
      <c r="A35" s="13" t="s">
        <v>172</v>
      </c>
      <c r="B35" s="1">
        <v>12</v>
      </c>
      <c r="C35" s="13" t="s">
        <v>0</v>
      </c>
      <c r="D35" s="145" t="str">
        <f>IF(OR(B35&lt;10,B35&gt;18),"&lt;-- Supply voltage is out of range!","&lt;-- Supply voltage")</f>
        <v>&lt;-- Supply voltage</v>
      </c>
      <c r="E35" s="146"/>
      <c r="F35" s="146"/>
      <c r="G35" s="146"/>
      <c r="H35" s="10" t="s">
        <v>367</v>
      </c>
      <c r="I35" s="51"/>
      <c r="S35" s="127"/>
      <c r="T35" s="136"/>
      <c r="U35" s="137">
        <v>19.95</v>
      </c>
      <c r="V35" s="137">
        <v>199.5</v>
      </c>
      <c r="W35" s="137">
        <v>5000</v>
      </c>
      <c r="X35" s="137">
        <v>0.91300000000000003</v>
      </c>
      <c r="Y35" s="136"/>
      <c r="Z35" s="136"/>
      <c r="AA35" s="136" t="s">
        <v>145</v>
      </c>
      <c r="AB35" s="136">
        <f ca="1">INDIRECT(ADDRESS(MATCH(AB29,X29:X47,1)+ROW(W29),COLUMN(X29)))</f>
        <v>393.5</v>
      </c>
      <c r="AC35" s="136"/>
      <c r="AD35" s="127"/>
    </row>
    <row r="36" spans="1:30" x14ac:dyDescent="0.2">
      <c r="A36" s="13" t="s">
        <v>3</v>
      </c>
      <c r="B36" s="1">
        <v>5</v>
      </c>
      <c r="C36" s="13" t="s">
        <v>0</v>
      </c>
      <c r="D36" s="145" t="str">
        <f>IF(AND((B33*0.8&gt;B36),(B36&gt;=1.25)),"&lt;-- Desired Output Voltage","&lt;-- Output Voltage is out of range")</f>
        <v>&lt;-- Desired Output Voltage</v>
      </c>
      <c r="E36" s="146"/>
      <c r="F36" s="146"/>
      <c r="G36" s="146"/>
      <c r="H36" s="10" t="s">
        <v>122</v>
      </c>
      <c r="I36" s="51"/>
      <c r="S36" s="127"/>
      <c r="T36" s="136"/>
      <c r="U36" s="137">
        <v>25.2</v>
      </c>
      <c r="V36" s="137">
        <v>159.30000000000001</v>
      </c>
      <c r="W36" s="137">
        <v>2500</v>
      </c>
      <c r="X36" s="137">
        <v>1.8149999999999999</v>
      </c>
      <c r="Y36" s="136"/>
      <c r="Z36" s="136"/>
      <c r="AA36" s="136" t="s">
        <v>146</v>
      </c>
      <c r="AB36" s="136">
        <f ca="1">(AB30-AB33)/(AB35-AB34)</f>
        <v>5.401546391752577E-2</v>
      </c>
      <c r="AC36" s="136"/>
      <c r="AD36" s="127"/>
    </row>
    <row r="37" spans="1:30" x14ac:dyDescent="0.2">
      <c r="A37" s="13" t="s">
        <v>4</v>
      </c>
      <c r="B37" s="1">
        <v>5</v>
      </c>
      <c r="C37" s="13" t="s">
        <v>21</v>
      </c>
      <c r="D37" t="s">
        <v>107</v>
      </c>
      <c r="H37" s="10"/>
      <c r="I37" s="51"/>
      <c r="S37" s="127"/>
      <c r="T37" s="136"/>
      <c r="U37" s="137">
        <v>49.9</v>
      </c>
      <c r="V37" s="137">
        <v>81.3</v>
      </c>
      <c r="W37" s="137">
        <v>1000</v>
      </c>
      <c r="X37" s="137">
        <v>4.4889999999999999</v>
      </c>
      <c r="Y37" s="136"/>
      <c r="Z37" s="136"/>
      <c r="AA37" s="136" t="s">
        <v>147</v>
      </c>
      <c r="AB37" s="136">
        <f ca="1">AB30-AB36*(AB29-AB34)</f>
        <v>19.922992268041238</v>
      </c>
      <c r="AC37" s="136"/>
      <c r="AD37" s="127"/>
    </row>
    <row r="38" spans="1:30" x14ac:dyDescent="0.2">
      <c r="A38" s="72"/>
      <c r="B38" s="144"/>
      <c r="C38" s="72"/>
      <c r="H38" s="51"/>
      <c r="I38" s="51"/>
      <c r="S38" s="127"/>
      <c r="T38" s="136"/>
      <c r="U38" s="137">
        <v>100</v>
      </c>
      <c r="V38" s="137">
        <v>40.950000000000003</v>
      </c>
      <c r="W38" s="137">
        <v>500</v>
      </c>
      <c r="X38" s="137">
        <v>8.8870000000000005</v>
      </c>
      <c r="Y38" s="136"/>
      <c r="Z38" s="136"/>
      <c r="AA38" s="136"/>
      <c r="AB38" s="136"/>
      <c r="AC38" s="136"/>
      <c r="AD38" s="127"/>
    </row>
    <row r="39" spans="1:30" x14ac:dyDescent="0.2">
      <c r="A39" s="17" t="s">
        <v>312</v>
      </c>
      <c r="B39" s="72"/>
      <c r="C39" s="72"/>
      <c r="E39" s="60"/>
      <c r="H39" s="51"/>
      <c r="I39" s="51"/>
      <c r="S39" s="127"/>
      <c r="T39" s="136"/>
      <c r="U39" s="137">
        <v>250</v>
      </c>
      <c r="V39" s="137">
        <v>16.079999999999998</v>
      </c>
      <c r="W39" s="137">
        <v>250</v>
      </c>
      <c r="X39" s="137">
        <v>16.079999999999998</v>
      </c>
      <c r="Y39" s="136"/>
      <c r="Z39" s="136"/>
      <c r="AA39" s="136"/>
      <c r="AB39" s="136"/>
      <c r="AC39" s="136"/>
      <c r="AD39" s="127"/>
    </row>
    <row r="40" spans="1:30" x14ac:dyDescent="0.2">
      <c r="A40" s="72"/>
      <c r="B40" s="72"/>
      <c r="C40" s="72" t="s">
        <v>20</v>
      </c>
      <c r="H40" s="51"/>
      <c r="I40" s="51"/>
      <c r="S40" s="127"/>
      <c r="T40" s="136"/>
      <c r="U40" s="137">
        <v>500</v>
      </c>
      <c r="V40" s="137">
        <v>7.68</v>
      </c>
      <c r="W40" s="137">
        <v>100</v>
      </c>
      <c r="X40" s="137">
        <v>40.950000000000003</v>
      </c>
      <c r="Y40" s="136"/>
      <c r="Z40" s="136"/>
      <c r="AA40" s="136"/>
      <c r="AB40" s="136"/>
      <c r="AC40" s="136"/>
      <c r="AD40" s="127"/>
    </row>
    <row r="41" spans="1:30" x14ac:dyDescent="0.2">
      <c r="A41" s="13" t="s">
        <v>63</v>
      </c>
      <c r="B41" s="31">
        <v>200</v>
      </c>
      <c r="C41" s="26" t="s">
        <v>64</v>
      </c>
      <c r="D41" s="145" t="str">
        <f>IF(OR(B41&gt;500,B41&lt;25),"&lt;-- Frequency is Out of Range","&lt;-- Switching Frequency")</f>
        <v>&lt;-- Switching Frequency</v>
      </c>
      <c r="E41" s="146"/>
      <c r="F41" s="146"/>
      <c r="H41" s="10" t="s">
        <v>299</v>
      </c>
      <c r="I41" s="51"/>
      <c r="S41" s="127"/>
      <c r="T41" s="136"/>
      <c r="U41" s="137">
        <v>1000</v>
      </c>
      <c r="V41" s="137">
        <v>4.4889999999999999</v>
      </c>
      <c r="W41" s="137">
        <v>49.9</v>
      </c>
      <c r="X41" s="137">
        <v>81.3</v>
      </c>
      <c r="Y41" s="136"/>
      <c r="Z41" s="136"/>
      <c r="AA41" s="136"/>
      <c r="AB41" s="136"/>
      <c r="AC41" s="136"/>
      <c r="AD41" s="127"/>
    </row>
    <row r="42" spans="1:30" hidden="1" x14ac:dyDescent="0.2">
      <c r="A42" s="72"/>
      <c r="B42" s="83">
        <f>B41*1000</f>
        <v>200000</v>
      </c>
      <c r="C42" s="84"/>
      <c r="S42" s="127"/>
      <c r="T42" s="136"/>
      <c r="U42" s="137">
        <v>2500</v>
      </c>
      <c r="V42" s="137">
        <v>1.8149999999999999</v>
      </c>
      <c r="W42" s="137">
        <v>25</v>
      </c>
      <c r="X42" s="137">
        <v>163.69999999999999</v>
      </c>
      <c r="Y42" s="136"/>
      <c r="Z42" s="136"/>
      <c r="AA42" s="136"/>
      <c r="AB42" s="136"/>
      <c r="AC42" s="136"/>
      <c r="AD42" s="127"/>
    </row>
    <row r="43" spans="1:30" x14ac:dyDescent="0.2">
      <c r="A43" s="73" t="s">
        <v>48</v>
      </c>
      <c r="B43" s="19">
        <f ca="1">AB37</f>
        <v>19.922992268041238</v>
      </c>
      <c r="C43" s="85" t="s">
        <v>47</v>
      </c>
      <c r="D43" t="s">
        <v>294</v>
      </c>
      <c r="H43" s="46" t="s">
        <v>135</v>
      </c>
      <c r="S43" s="127"/>
      <c r="T43" s="136"/>
      <c r="U43" s="137">
        <v>2500</v>
      </c>
      <c r="V43" s="137">
        <v>1.82</v>
      </c>
      <c r="W43" s="137">
        <v>25.2</v>
      </c>
      <c r="X43" s="137">
        <v>159.30000000000001</v>
      </c>
      <c r="Y43" s="136"/>
      <c r="Z43" s="136"/>
      <c r="AA43" s="136"/>
      <c r="AB43" s="136"/>
      <c r="AC43" s="136"/>
      <c r="AD43" s="127"/>
    </row>
    <row r="44" spans="1:30" x14ac:dyDescent="0.2">
      <c r="A44" s="72"/>
      <c r="B44" s="144"/>
      <c r="C44" s="72"/>
      <c r="D44" s="153" t="str">
        <f ca="1">IF(AND(B43&gt;5,B43&lt;250),"&lt;-- Choose from chart","&lt;-- Value is over range! Choose from chart")</f>
        <v>&lt;-- Choose from chart</v>
      </c>
      <c r="E44" s="153"/>
      <c r="F44" s="153"/>
      <c r="G44" s="153"/>
      <c r="S44" s="127"/>
      <c r="T44" s="136"/>
      <c r="U44" s="137">
        <v>5000</v>
      </c>
      <c r="V44" s="137">
        <v>0.91300000000000003</v>
      </c>
      <c r="W44" s="137">
        <v>19.95</v>
      </c>
      <c r="X44" s="137">
        <v>199.5</v>
      </c>
      <c r="Y44" s="136"/>
      <c r="Z44" s="136"/>
      <c r="AA44" s="136"/>
      <c r="AB44" s="136"/>
      <c r="AC44" s="136"/>
      <c r="AD44" s="127"/>
    </row>
    <row r="45" spans="1:30" x14ac:dyDescent="0.2">
      <c r="A45" s="17" t="s">
        <v>313</v>
      </c>
      <c r="B45" s="72"/>
      <c r="C45" s="72"/>
      <c r="G45" s="69"/>
      <c r="S45" s="127"/>
      <c r="T45" s="136"/>
      <c r="U45" s="137">
        <v>10000</v>
      </c>
      <c r="V45" s="137">
        <v>0.45900000000000002</v>
      </c>
      <c r="W45" s="137">
        <v>9.4710000000000001</v>
      </c>
      <c r="X45" s="137">
        <v>393.5</v>
      </c>
      <c r="Y45" s="136"/>
      <c r="Z45" s="136"/>
      <c r="AA45" s="136"/>
      <c r="AB45" s="136"/>
      <c r="AC45" s="136"/>
      <c r="AD45" s="127"/>
    </row>
    <row r="46" spans="1:30" x14ac:dyDescent="0.2">
      <c r="A46" s="72"/>
      <c r="B46" s="72"/>
      <c r="C46" s="72"/>
      <c r="S46" s="127"/>
      <c r="T46" s="136"/>
      <c r="U46" s="137">
        <v>25000</v>
      </c>
      <c r="V46" s="137">
        <v>0.185</v>
      </c>
      <c r="W46" s="137">
        <v>4.4800000000000004</v>
      </c>
      <c r="X46" s="137">
        <v>756</v>
      </c>
      <c r="Y46" s="136"/>
      <c r="Z46" s="136"/>
      <c r="AA46" s="136"/>
      <c r="AB46" s="136"/>
      <c r="AC46" s="136"/>
      <c r="AD46" s="127"/>
    </row>
    <row r="47" spans="1:30" x14ac:dyDescent="0.2">
      <c r="A47" s="73" t="s">
        <v>249</v>
      </c>
      <c r="B47" s="74" t="s">
        <v>266</v>
      </c>
      <c r="C47" s="72"/>
      <c r="D47" t="str">
        <f ca="1">IF(B48&lt;B32,IF(B49&lt;B37+B115/2,"Drain Source Breakdown Voltage And Drain Current Are Exceeded","Drain Source Breakdown Voltage Exceeded"),IF(B49&lt;B37+B115/2,"Drain Current Is Exceeded","&lt;-- Choose Mosfet Type From Mosfets Sheet"))</f>
        <v>&lt;-- Choose Mosfet Type From Mosfets Sheet</v>
      </c>
      <c r="S47" s="127"/>
      <c r="T47" s="136"/>
      <c r="U47" s="137">
        <v>50000</v>
      </c>
      <c r="V47" s="137">
        <v>9.2999999999999999E-2</v>
      </c>
      <c r="W47" s="137">
        <v>2.12</v>
      </c>
      <c r="X47" s="137">
        <v>1374</v>
      </c>
      <c r="Y47" s="136"/>
      <c r="Z47" s="136"/>
      <c r="AA47" s="136"/>
      <c r="AB47" s="136"/>
      <c r="AC47" s="136"/>
      <c r="AD47" s="127"/>
    </row>
    <row r="48" spans="1:30" hidden="1" x14ac:dyDescent="0.2">
      <c r="A48" s="73" t="s">
        <v>234</v>
      </c>
      <c r="B48" s="75">
        <f ca="1">INDIRECT(ADDRESS(ROW(MOSFETs!B4),Calculations!D48+COLUMN(MOSFETs!B1),,,"Mosfets"))</f>
        <v>60</v>
      </c>
      <c r="C48" s="73" t="s">
        <v>0</v>
      </c>
      <c r="D48">
        <f>MATCH(B47,MOSFETs!C1:AA1,0)</f>
        <v>5</v>
      </c>
      <c r="S48" s="127"/>
      <c r="T48" s="136"/>
      <c r="U48" s="137"/>
      <c r="V48" s="137"/>
      <c r="W48" s="137"/>
      <c r="X48" s="137"/>
      <c r="Y48" s="136"/>
      <c r="Z48" s="136"/>
      <c r="AA48" s="136"/>
      <c r="AB48" s="136"/>
      <c r="AC48" s="136"/>
      <c r="AD48" s="127"/>
    </row>
    <row r="49" spans="1:30" hidden="1" x14ac:dyDescent="0.2">
      <c r="A49" s="73" t="s">
        <v>235</v>
      </c>
      <c r="B49" s="75">
        <f ca="1">INDIRECT(ADDRESS(ROW(MOSFETs!B5),Calculations!D48+COLUMN(MOSFETs!B1),,,"Mosfets"))</f>
        <v>24</v>
      </c>
      <c r="C49" s="73" t="s">
        <v>21</v>
      </c>
      <c r="S49" s="127"/>
      <c r="T49" s="136"/>
      <c r="U49" s="137"/>
      <c r="V49" s="137"/>
      <c r="W49" s="137"/>
      <c r="X49" s="137"/>
      <c r="Y49" s="136"/>
      <c r="Z49" s="136"/>
      <c r="AA49" s="136"/>
      <c r="AB49" s="136"/>
      <c r="AC49" s="136"/>
      <c r="AD49" s="127"/>
    </row>
    <row r="50" spans="1:30" hidden="1" x14ac:dyDescent="0.2">
      <c r="A50" s="73" t="s">
        <v>65</v>
      </c>
      <c r="B50" s="76">
        <f ca="1">INDIRECT(ADDRESS(ROW(MOSFETs!B6),Calculations!D48+COLUMN(MOSFETs!B1),,,"Mosfets"))</f>
        <v>32</v>
      </c>
      <c r="C50" s="85" t="s">
        <v>46</v>
      </c>
      <c r="S50" s="127"/>
      <c r="T50" s="136"/>
      <c r="U50" s="137"/>
      <c r="V50" s="137"/>
      <c r="W50" s="137"/>
      <c r="X50" s="137"/>
      <c r="Y50" s="136"/>
      <c r="Z50" s="136"/>
      <c r="AA50" s="136"/>
      <c r="AB50" s="136"/>
      <c r="AC50" s="136"/>
      <c r="AD50" s="127"/>
    </row>
    <row r="51" spans="1:30" hidden="1" x14ac:dyDescent="0.2">
      <c r="A51" s="73" t="s">
        <v>150</v>
      </c>
      <c r="B51" s="76">
        <f ca="1">INDIRECT(ADDRESS(ROW(MOSFETs!B7),Calculations!D48+COLUMN(MOSFETs!B1),,,"Mosfets"))</f>
        <v>11.5</v>
      </c>
      <c r="C51" s="85" t="s">
        <v>151</v>
      </c>
      <c r="S51" s="127"/>
      <c r="T51" s="136"/>
      <c r="U51" s="137"/>
      <c r="V51" s="137"/>
      <c r="W51" s="137"/>
      <c r="X51" s="137"/>
      <c r="Y51" s="136"/>
      <c r="Z51" s="136"/>
      <c r="AA51" s="136"/>
      <c r="AB51" s="136"/>
      <c r="AC51" s="136"/>
      <c r="AD51" s="127"/>
    </row>
    <row r="52" spans="1:30" hidden="1" x14ac:dyDescent="0.2">
      <c r="A52" s="73" t="s">
        <v>152</v>
      </c>
      <c r="B52" s="76">
        <f ca="1">INDIRECT(ADDRESS(ROW(MOSFETs!B8),Calculations!D48+COLUMN(MOSFETs!B1),,,"Mosfets"))</f>
        <v>5</v>
      </c>
      <c r="C52" s="85" t="s">
        <v>151</v>
      </c>
      <c r="S52" s="127"/>
      <c r="T52" s="136"/>
      <c r="U52" s="137"/>
      <c r="V52" s="137"/>
      <c r="W52" s="137"/>
      <c r="X52" s="137"/>
      <c r="Y52" s="136"/>
      <c r="Z52" s="136"/>
      <c r="AA52" s="136"/>
      <c r="AB52" s="136"/>
      <c r="AC52" s="136"/>
      <c r="AD52" s="127"/>
    </row>
    <row r="53" spans="1:30" hidden="1" x14ac:dyDescent="0.2">
      <c r="A53" s="73" t="s">
        <v>153</v>
      </c>
      <c r="B53" s="76">
        <f ca="1">INDIRECT(ADDRESS(ROW(MOSFETs!B9),Calculations!D48+COLUMN(MOSFETs!B1),,,"Mosfets"))</f>
        <v>24</v>
      </c>
      <c r="C53" s="85" t="s">
        <v>151</v>
      </c>
      <c r="S53" s="127"/>
      <c r="T53" s="136"/>
      <c r="U53" s="137"/>
      <c r="V53" s="137"/>
      <c r="W53" s="137"/>
      <c r="X53" s="137"/>
      <c r="Y53" s="136"/>
      <c r="Z53" s="136"/>
      <c r="AA53" s="136"/>
      <c r="AB53" s="136"/>
      <c r="AC53" s="136"/>
      <c r="AD53" s="127"/>
    </row>
    <row r="54" spans="1:30" hidden="1" x14ac:dyDescent="0.2">
      <c r="A54" s="73" t="s">
        <v>164</v>
      </c>
      <c r="B54" s="76">
        <f ca="1">INDIRECT(ADDRESS(ROW(MOSFETs!B10),Calculations!D48+COLUMN(MOSFETs!B1),,,"Mosfets"))</f>
        <v>96</v>
      </c>
      <c r="C54" s="85" t="s">
        <v>151</v>
      </c>
      <c r="S54" s="127"/>
      <c r="T54" s="136"/>
      <c r="U54" s="137"/>
      <c r="V54" s="137"/>
      <c r="W54" s="137"/>
      <c r="X54" s="137"/>
      <c r="Y54" s="136"/>
      <c r="Z54" s="136"/>
      <c r="AA54" s="136"/>
      <c r="AB54" s="136"/>
      <c r="AC54" s="136"/>
      <c r="AD54" s="127"/>
    </row>
    <row r="55" spans="1:30" hidden="1" x14ac:dyDescent="0.2">
      <c r="A55" s="73" t="s">
        <v>178</v>
      </c>
      <c r="B55" s="76">
        <f ca="1">INDIRECT(ADDRESS(ROW(MOSFETs!B11),Calculations!D48+COLUMN(MOSFETs!B1),,,"Mosfets"))</f>
        <v>846</v>
      </c>
      <c r="C55" s="85" t="s">
        <v>104</v>
      </c>
      <c r="S55" s="127"/>
      <c r="T55" s="136"/>
      <c r="U55" s="137"/>
      <c r="V55" s="137"/>
      <c r="W55" s="137"/>
      <c r="X55" s="137"/>
      <c r="Y55" s="136"/>
      <c r="Z55" s="136"/>
      <c r="AA55" s="136"/>
      <c r="AB55" s="136"/>
      <c r="AC55" s="136"/>
      <c r="AD55" s="127"/>
    </row>
    <row r="56" spans="1:30" hidden="1" x14ac:dyDescent="0.2">
      <c r="A56" s="73" t="s">
        <v>351</v>
      </c>
      <c r="B56" s="76">
        <f ca="1">INDIRECT(ADDRESS(ROW(MOSFETs!B12),Calculations!D48+COLUMN(MOSFETs!B1),,,"Mosfets"))</f>
        <v>252</v>
      </c>
      <c r="C56" s="85" t="s">
        <v>104</v>
      </c>
      <c r="S56" s="127"/>
      <c r="T56" s="136"/>
      <c r="U56" s="137"/>
      <c r="V56" s="137"/>
      <c r="W56" s="137"/>
      <c r="X56" s="137"/>
      <c r="Y56" s="136"/>
      <c r="Z56" s="136"/>
      <c r="AA56" s="136"/>
      <c r="AB56" s="136"/>
      <c r="AC56" s="136"/>
      <c r="AD56" s="127"/>
    </row>
    <row r="57" spans="1:30" hidden="1" x14ac:dyDescent="0.2">
      <c r="A57" s="73" t="s">
        <v>154</v>
      </c>
      <c r="B57" s="76">
        <f ca="1">INDIRECT(ADDRESS(ROW(MOSFETs!B13),Calculations!D48+COLUMN(MOSFETs!B1),,,"Mosfets"))</f>
        <v>0</v>
      </c>
      <c r="C57" s="20" t="s">
        <v>32</v>
      </c>
      <c r="S57" s="127"/>
      <c r="T57" s="136"/>
      <c r="U57" s="137"/>
      <c r="V57" s="137"/>
      <c r="W57" s="137"/>
      <c r="X57" s="137"/>
      <c r="Y57" s="136"/>
      <c r="Z57" s="136"/>
      <c r="AA57" s="136"/>
      <c r="AB57" s="136"/>
      <c r="AC57" s="136"/>
      <c r="AD57" s="127"/>
    </row>
    <row r="58" spans="1:30" hidden="1" x14ac:dyDescent="0.2">
      <c r="A58" s="73" t="s">
        <v>155</v>
      </c>
      <c r="B58" s="76">
        <f ca="1">INDIRECT(ADDRESS(ROW(MOSFETs!B14),Calculations!D48+COLUMN(MOSFETs!B1),,,"Mosfets"))</f>
        <v>3</v>
      </c>
      <c r="C58" s="85" t="s">
        <v>0</v>
      </c>
      <c r="S58" s="127"/>
      <c r="T58" s="136"/>
      <c r="U58" s="137"/>
      <c r="V58" s="137"/>
      <c r="W58" s="137"/>
      <c r="X58" s="137"/>
      <c r="Y58" s="136"/>
      <c r="Z58" s="136"/>
      <c r="AA58" s="136"/>
      <c r="AB58" s="136"/>
      <c r="AC58" s="136"/>
      <c r="AD58" s="127"/>
    </row>
    <row r="59" spans="1:30" hidden="1" x14ac:dyDescent="0.2">
      <c r="A59" s="73" t="s">
        <v>188</v>
      </c>
      <c r="B59" s="76">
        <f ca="1">INDIRECT(ADDRESS(ROW(MOSFETs!B15),Calculations!D48+COLUMN(MOSFETs!B1),,,"Mosfets"))</f>
        <v>7</v>
      </c>
      <c r="C59" s="85" t="s">
        <v>0</v>
      </c>
      <c r="S59" s="127"/>
      <c r="T59" s="136"/>
      <c r="U59" s="137"/>
      <c r="V59" s="137"/>
      <c r="W59" s="137"/>
      <c r="X59" s="137"/>
      <c r="Y59" s="136"/>
      <c r="Z59" s="136"/>
      <c r="AA59" s="136"/>
      <c r="AB59" s="136"/>
      <c r="AC59" s="136"/>
      <c r="AD59" s="127"/>
    </row>
    <row r="60" spans="1:30" hidden="1" x14ac:dyDescent="0.2">
      <c r="A60" s="77" t="s">
        <v>156</v>
      </c>
      <c r="B60" s="76">
        <f ca="1">INDIRECT(ADDRESS(ROW(MOSFETs!B16),Calculations!D48+COLUMN(MOSFETs!B1),,,"Mosfets"))</f>
        <v>15</v>
      </c>
      <c r="C60" s="85" t="s">
        <v>157</v>
      </c>
      <c r="S60" s="127"/>
      <c r="T60" s="136"/>
      <c r="U60" s="137"/>
      <c r="V60" s="137"/>
      <c r="W60" s="137"/>
      <c r="X60" s="137"/>
      <c r="Y60" s="136"/>
      <c r="Z60" s="136"/>
      <c r="AA60" s="136"/>
      <c r="AB60" s="136"/>
      <c r="AC60" s="136"/>
      <c r="AD60" s="127"/>
    </row>
    <row r="61" spans="1:30" hidden="1" x14ac:dyDescent="0.2">
      <c r="A61" s="73" t="s">
        <v>189</v>
      </c>
      <c r="B61" s="76">
        <f ca="1">INDIRECT(ADDRESS(ROW(MOSFETs!B17),Calculations!D48+COLUMN(MOSFETs!B1),,,"Mosfets"))</f>
        <v>0.95</v>
      </c>
      <c r="C61" s="85" t="s">
        <v>0</v>
      </c>
      <c r="S61" s="127"/>
      <c r="T61" s="136"/>
      <c r="U61" s="137"/>
      <c r="V61" s="137"/>
      <c r="W61" s="137"/>
      <c r="X61" s="137"/>
      <c r="Y61" s="136"/>
      <c r="Z61" s="136"/>
      <c r="AA61" s="136"/>
      <c r="AB61" s="136"/>
      <c r="AC61" s="136"/>
      <c r="AD61" s="127"/>
    </row>
    <row r="62" spans="1:30" hidden="1" x14ac:dyDescent="0.2">
      <c r="A62" s="73" t="s">
        <v>272</v>
      </c>
      <c r="B62" s="76">
        <f ca="1">INDIRECT(ADDRESS(ROW(MOSFETs!B18),Calculations!D48+COLUMN(MOSFETs!B1),,,"Mosfets"))</f>
        <v>10</v>
      </c>
      <c r="C62" s="85" t="s">
        <v>1</v>
      </c>
      <c r="S62" s="127"/>
      <c r="T62" s="136"/>
      <c r="U62" s="137"/>
      <c r="V62" s="137"/>
      <c r="W62" s="137"/>
      <c r="X62" s="137"/>
      <c r="Y62" s="136"/>
      <c r="Z62" s="136"/>
      <c r="AA62" s="136"/>
      <c r="AB62" s="136"/>
      <c r="AC62" s="136"/>
      <c r="AD62" s="127"/>
    </row>
    <row r="63" spans="1:30" hidden="1" x14ac:dyDescent="0.2">
      <c r="A63" s="73" t="s">
        <v>275</v>
      </c>
      <c r="B63" s="76">
        <f ca="1">INDIRECT(ADDRESS(ROW(MOSFETs!B19),Calculations!D48+COLUMN(MOSFETs!B1),,,"Mosfets"))</f>
        <v>24</v>
      </c>
      <c r="C63" s="85" t="s">
        <v>1</v>
      </c>
      <c r="S63" s="127"/>
      <c r="T63" s="136"/>
      <c r="U63" s="137"/>
      <c r="V63" s="137"/>
      <c r="W63" s="137"/>
      <c r="X63" s="137"/>
      <c r="Y63" s="136"/>
      <c r="Z63" s="136"/>
      <c r="AA63" s="136"/>
      <c r="AB63" s="136"/>
      <c r="AC63" s="136"/>
      <c r="AD63" s="127"/>
    </row>
    <row r="64" spans="1:30" hidden="1" x14ac:dyDescent="0.2">
      <c r="A64" s="73" t="s">
        <v>274</v>
      </c>
      <c r="B64" s="76">
        <f ca="1">INDIRECT(ADDRESS(ROW(MOSFETs!B20),Calculations!D48+COLUMN(MOSFETs!B1),,,"Mosfets"))</f>
        <v>25</v>
      </c>
      <c r="C64" s="85" t="s">
        <v>1</v>
      </c>
      <c r="S64" s="127"/>
      <c r="T64" s="136"/>
      <c r="U64" s="137"/>
      <c r="V64" s="137"/>
      <c r="W64" s="137"/>
      <c r="X64" s="137"/>
      <c r="Y64" s="136"/>
      <c r="Z64" s="136"/>
      <c r="AA64" s="136"/>
      <c r="AB64" s="136"/>
      <c r="AC64" s="136"/>
      <c r="AD64" s="127"/>
    </row>
    <row r="65" spans="1:30" hidden="1" x14ac:dyDescent="0.2">
      <c r="A65" s="73" t="s">
        <v>273</v>
      </c>
      <c r="B65" s="76">
        <f ca="1">INDIRECT(ADDRESS(ROW(MOSFETs!B21),Calculations!D48+COLUMN(MOSFETs!B1),,,"Mosfets"))</f>
        <v>27</v>
      </c>
      <c r="C65" s="85" t="s">
        <v>1</v>
      </c>
      <c r="S65" s="127"/>
      <c r="T65" s="136"/>
      <c r="U65" s="137"/>
      <c r="V65" s="137"/>
      <c r="W65" s="137"/>
      <c r="X65" s="137"/>
      <c r="Y65" s="136"/>
      <c r="Z65" s="136"/>
      <c r="AA65" s="136"/>
      <c r="AB65" s="136"/>
      <c r="AC65" s="136"/>
      <c r="AD65" s="127"/>
    </row>
    <row r="66" spans="1:30" x14ac:dyDescent="0.2">
      <c r="A66" s="73" t="s">
        <v>250</v>
      </c>
      <c r="B66" s="74" t="s">
        <v>221</v>
      </c>
      <c r="C66" s="72"/>
      <c r="D66" t="str">
        <f ca="1">IF(B67&lt;B32,IF(B68&lt;B37+B115*2,"Drain Source Breakdown Voltage And Drain Current Are Exceeded","Drain Source Breakdown Voltage Exceeded"),IF(B68&lt;B37+B115/2,"Drain Current Is Exceeded","&lt;-- Choose Mosfet Type From Mosfets Sheet"))</f>
        <v>&lt;-- Choose Mosfet Type From Mosfets Sheet</v>
      </c>
      <c r="S66" s="127"/>
      <c r="T66" s="136"/>
      <c r="U66" s="137"/>
      <c r="V66" s="137"/>
      <c r="W66" s="137"/>
      <c r="X66" s="137"/>
      <c r="Y66" s="136"/>
      <c r="Z66" s="136"/>
      <c r="AA66" s="136"/>
      <c r="AB66" s="136"/>
      <c r="AC66" s="136"/>
      <c r="AD66" s="127"/>
    </row>
    <row r="67" spans="1:30" hidden="1" x14ac:dyDescent="0.2">
      <c r="A67" s="73" t="s">
        <v>236</v>
      </c>
      <c r="B67" s="86">
        <f ca="1">INDIRECT(ADDRESS(ROW(MOSFETs!B4),Calculations!D67+COLUMN(MOSFETs!B1),,,"Mosfets"))</f>
        <v>60</v>
      </c>
      <c r="C67" s="73" t="s">
        <v>0</v>
      </c>
      <c r="D67">
        <f>MATCH(B66,MOSFETs!C1:AA1,0)</f>
        <v>8</v>
      </c>
      <c r="S67" s="127"/>
      <c r="T67" s="136"/>
      <c r="U67" s="137"/>
      <c r="V67" s="137"/>
      <c r="W67" s="137"/>
      <c r="X67" s="137"/>
      <c r="Y67" s="136"/>
      <c r="Z67" s="136"/>
      <c r="AA67" s="136"/>
      <c r="AB67" s="136"/>
      <c r="AC67" s="136"/>
      <c r="AD67" s="127"/>
    </row>
    <row r="68" spans="1:30" hidden="1" x14ac:dyDescent="0.2">
      <c r="A68" s="73" t="s">
        <v>237</v>
      </c>
      <c r="B68" s="86">
        <f ca="1">INDIRECT(ADDRESS(ROW(MOSFETs!B5),Calculations!D67+COLUMN(MOSFETs!B1),,,"Mosfets"))</f>
        <v>9</v>
      </c>
      <c r="C68" s="73" t="s">
        <v>21</v>
      </c>
      <c r="S68" s="127"/>
      <c r="T68" s="136"/>
      <c r="U68" s="137"/>
      <c r="V68" s="137"/>
      <c r="W68" s="137"/>
      <c r="X68" s="137"/>
      <c r="Y68" s="136"/>
      <c r="Z68" s="136"/>
      <c r="AA68" s="136"/>
      <c r="AB68" s="136"/>
      <c r="AC68" s="136"/>
      <c r="AD68" s="127"/>
    </row>
    <row r="69" spans="1:30" hidden="1" x14ac:dyDescent="0.2">
      <c r="A69" s="13" t="s">
        <v>66</v>
      </c>
      <c r="B69" s="31">
        <f ca="1">INDIRECT(ADDRESS(ROW(MOSFETs!B6),Calculations!D67+COLUMN(MOSFETs!B1),,,"Mosfets"))</f>
        <v>122</v>
      </c>
      <c r="C69" s="85" t="s">
        <v>46</v>
      </c>
      <c r="S69" s="127"/>
      <c r="T69" s="136"/>
      <c r="U69" s="137"/>
      <c r="V69" s="137"/>
      <c r="W69" s="137"/>
      <c r="X69" s="137"/>
      <c r="Y69" s="136"/>
      <c r="Z69" s="136"/>
      <c r="AA69" s="136"/>
      <c r="AB69" s="136"/>
      <c r="AC69" s="136"/>
      <c r="AD69" s="127"/>
    </row>
    <row r="70" spans="1:30" hidden="1" x14ac:dyDescent="0.2">
      <c r="A70" s="13" t="s">
        <v>158</v>
      </c>
      <c r="B70" s="31">
        <f ca="1">INDIRECT(ADDRESS(ROW(MOSFETs!B7),Calculations!D67+COLUMN(MOSFETs!B1),,,"Mosfets"))</f>
        <v>3.5</v>
      </c>
      <c r="C70" s="85" t="s">
        <v>151</v>
      </c>
      <c r="S70" s="127"/>
      <c r="T70" s="136"/>
      <c r="U70" s="137"/>
      <c r="V70" s="137"/>
      <c r="W70" s="137"/>
      <c r="X70" s="137"/>
      <c r="Y70" s="136"/>
      <c r="Z70" s="136"/>
      <c r="AA70" s="136"/>
      <c r="AB70" s="136"/>
      <c r="AC70" s="136"/>
      <c r="AD70" s="127"/>
    </row>
    <row r="71" spans="1:30" hidden="1" x14ac:dyDescent="0.2">
      <c r="A71" s="13" t="s">
        <v>159</v>
      </c>
      <c r="B71" s="31">
        <f ca="1">INDIRECT(ADDRESS(ROW(MOSFETs!B8),Calculations!D67+COLUMN(MOSFETs!B1),,,"Mosfets"))</f>
        <v>1.7</v>
      </c>
      <c r="C71" s="85" t="s">
        <v>151</v>
      </c>
      <c r="D71" s="145"/>
      <c r="E71" s="146"/>
      <c r="F71" s="146"/>
      <c r="S71" s="127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27"/>
    </row>
    <row r="72" spans="1:30" hidden="1" x14ac:dyDescent="0.2">
      <c r="A72" s="13" t="s">
        <v>160</v>
      </c>
      <c r="B72" s="31">
        <f ca="1">INDIRECT(ADDRESS(ROW(MOSFETs!B9),Calculations!D67+COLUMN(MOSFETs!B1),,,"Mosfets"))</f>
        <v>7.1</v>
      </c>
      <c r="C72" s="85" t="s">
        <v>151</v>
      </c>
      <c r="D72" s="14"/>
      <c r="E72" s="14"/>
      <c r="F72" s="14"/>
      <c r="S72" s="127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27"/>
    </row>
    <row r="73" spans="1:30" hidden="1" x14ac:dyDescent="0.2">
      <c r="A73" s="13" t="s">
        <v>352</v>
      </c>
      <c r="B73" s="31">
        <f ca="1">INDIRECT(ADDRESS(ROW(MOSFETs!B12),Calculations!D67+COLUMN(MOSFETs!B1),,,"Mosfets"))</f>
        <v>70</v>
      </c>
      <c r="C73" s="85" t="s">
        <v>151</v>
      </c>
      <c r="D73" s="14"/>
      <c r="E73" s="14" t="str">
        <f ca="1">IF(D80&lt;0,"&lt;-- Possible Shoot-through from Off to On Time for "&amp;-D80&amp;" ns! See Datasheet for Details","")</f>
        <v/>
      </c>
      <c r="F73" s="14"/>
      <c r="S73" s="127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27"/>
    </row>
    <row r="74" spans="1:30" hidden="1" x14ac:dyDescent="0.2">
      <c r="A74" s="13" t="s">
        <v>161</v>
      </c>
      <c r="B74" s="31">
        <f ca="1">INDIRECT(ADDRESS(ROW(MOSFETs!B13),Calculations!D67+COLUMN(MOSFETs!B1),,,"Mosfets"))</f>
        <v>0</v>
      </c>
      <c r="C74" s="20" t="s">
        <v>32</v>
      </c>
      <c r="D74" s="14"/>
      <c r="E74" s="14" t="str">
        <f ca="1">IF(E80&lt;0,"&lt;-- Possible Shoot-through from On to Off Time for "&amp;-E80&amp;" ns! See Datasheet for Details","")</f>
        <v/>
      </c>
      <c r="F74" s="14"/>
      <c r="S74" s="127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27"/>
    </row>
    <row r="75" spans="1:30" hidden="1" x14ac:dyDescent="0.2">
      <c r="A75" s="13" t="s">
        <v>162</v>
      </c>
      <c r="B75" s="31">
        <f ca="1">INDIRECT(ADDRESS(ROW(MOSFETs!B14),Calculations!D67+COLUMN(MOSFETs!B1),,,"Mosfets"))</f>
        <v>3</v>
      </c>
      <c r="C75" s="85" t="s">
        <v>0</v>
      </c>
      <c r="D75" s="14"/>
      <c r="E75" s="14"/>
      <c r="F75" s="14"/>
      <c r="S75" s="127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27"/>
    </row>
    <row r="76" spans="1:30" hidden="1" x14ac:dyDescent="0.2">
      <c r="A76" s="13" t="s">
        <v>163</v>
      </c>
      <c r="B76" s="31">
        <f ca="1">INDIRECT(ADDRESS(ROW(MOSFETs!B16),Calculations!D67+COLUMN(MOSFETs!B1),,,"Mosfets"))</f>
        <v>5.4</v>
      </c>
      <c r="C76" s="85" t="s">
        <v>157</v>
      </c>
      <c r="D76" s="14"/>
      <c r="E76" s="14"/>
      <c r="F76" s="14"/>
      <c r="S76" s="127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27"/>
    </row>
    <row r="77" spans="1:30" hidden="1" x14ac:dyDescent="0.2">
      <c r="A77" s="13" t="s">
        <v>276</v>
      </c>
      <c r="B77" s="31">
        <f ca="1">INDIRECT(ADDRESS(ROW(MOSFETs!B18),Calculations!D67+COLUMN(MOSFETs!B1),,,"Mosfets"))</f>
        <v>11.2</v>
      </c>
      <c r="C77" s="85" t="s">
        <v>1</v>
      </c>
      <c r="D77" s="14"/>
      <c r="E77" s="14"/>
      <c r="F77" s="14"/>
      <c r="S77" s="127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27"/>
    </row>
    <row r="78" spans="1:30" hidden="1" x14ac:dyDescent="0.2">
      <c r="A78" s="13" t="s">
        <v>277</v>
      </c>
      <c r="B78" s="31">
        <f ca="1">INDIRECT(ADDRESS(ROW(MOSFETs!B19),Calculations!D67+COLUMN(MOSFETs!B1),,,"Mosfets"))</f>
        <v>37.1</v>
      </c>
      <c r="C78" s="85" t="s">
        <v>1</v>
      </c>
      <c r="D78" s="14"/>
      <c r="E78" s="14"/>
      <c r="F78" s="14"/>
      <c r="S78" s="127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27"/>
    </row>
    <row r="79" spans="1:30" hidden="1" x14ac:dyDescent="0.2">
      <c r="A79" s="13" t="s">
        <v>278</v>
      </c>
      <c r="B79" s="31">
        <f ca="1">INDIRECT(ADDRESS(ROW(MOSFETs!B20),Calculations!D67+COLUMN(MOSFETs!B1),,,"Mosfets"))</f>
        <v>12.2</v>
      </c>
      <c r="C79" s="85" t="s">
        <v>1</v>
      </c>
      <c r="D79" s="129" t="s">
        <v>363</v>
      </c>
      <c r="E79" s="129"/>
      <c r="F79" s="129" t="s">
        <v>364</v>
      </c>
      <c r="G79" s="18"/>
      <c r="H79" s="129" t="s">
        <v>366</v>
      </c>
      <c r="I79" s="18"/>
      <c r="S79" s="127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27"/>
    </row>
    <row r="80" spans="1:30" hidden="1" x14ac:dyDescent="0.2">
      <c r="A80" s="13" t="s">
        <v>279</v>
      </c>
      <c r="B80" s="31">
        <f ca="1">INDIRECT(ADDRESS(ROW(MOSFETs!B21),Calculations!D67+COLUMN(MOSFETs!B1),,,"Mosfets"))</f>
        <v>23</v>
      </c>
      <c r="C80" s="85" t="s">
        <v>1</v>
      </c>
      <c r="D80" s="129">
        <f ca="1">B77+50-(B64+B65)</f>
        <v>9.2000000000000028</v>
      </c>
      <c r="E80" s="129">
        <f ca="1">B62+50-(B79+B80)</f>
        <v>24.799999999999997</v>
      </c>
      <c r="F80" s="130">
        <f ca="1">ROUND((0.00000004+B208-B227-B228-B229)*1000000000,0)</f>
        <v>33</v>
      </c>
      <c r="G80" s="131">
        <f ca="1">ROUND((0.00000004+B224-B210-B211)*1000000000,0)</f>
        <v>38</v>
      </c>
      <c r="H80" s="18">
        <f ca="1">ROUND((0.00000004+B208-I221-I222)*1000000000,0)</f>
        <v>20</v>
      </c>
      <c r="I80" s="18">
        <f ca="1">ROUND((0.00000004+I219-B210-B211)*1000000000,0)</f>
        <v>39</v>
      </c>
      <c r="S80" s="127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27"/>
    </row>
    <row r="81" spans="1:30" x14ac:dyDescent="0.2">
      <c r="B81" s="139"/>
      <c r="D81" t="str">
        <f ca="1">IF(H80&lt;0,"&lt;-- Possible Shoot-through from Off to On Time for "&amp;-H80&amp;" ns! See Datasheet for Details","")</f>
        <v/>
      </c>
      <c r="F81" s="14"/>
      <c r="S81" s="127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27"/>
    </row>
    <row r="82" spans="1:30" x14ac:dyDescent="0.2">
      <c r="D82" t="str">
        <f ca="1">IF(I80&lt;0,"&lt;-- Possible Shoot-through from On to Off Time for "&amp;-I80&amp;" ns! See Datasheet for Details","")</f>
        <v/>
      </c>
      <c r="F82" s="14"/>
      <c r="G82" s="14"/>
      <c r="S82" s="127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27"/>
    </row>
    <row r="83" spans="1:30" x14ac:dyDescent="0.2">
      <c r="D83" s="14"/>
      <c r="F83" s="14"/>
      <c r="G83" s="14"/>
      <c r="S83" s="127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27"/>
    </row>
    <row r="84" spans="1:30" x14ac:dyDescent="0.2">
      <c r="A84" s="13" t="s">
        <v>283</v>
      </c>
      <c r="B84" s="102">
        <f ca="1">B240</f>
        <v>85.126577166019899</v>
      </c>
      <c r="C84" s="122" t="s">
        <v>29</v>
      </c>
      <c r="D84" s="14" t="s">
        <v>284</v>
      </c>
      <c r="F84" s="14"/>
      <c r="G84" s="14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</row>
    <row r="85" spans="1:30" x14ac:dyDescent="0.2">
      <c r="A85" s="72"/>
      <c r="B85" s="72"/>
      <c r="C85" s="72"/>
      <c r="E85" s="11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</row>
    <row r="86" spans="1:30" x14ac:dyDescent="0.2">
      <c r="A86" s="17" t="s">
        <v>368</v>
      </c>
      <c r="B86" s="72"/>
      <c r="C86" s="72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</row>
    <row r="87" spans="1:30" hidden="1" x14ac:dyDescent="0.2"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</row>
    <row r="88" spans="1:30" x14ac:dyDescent="0.2">
      <c r="A88" s="87"/>
      <c r="B88" s="87"/>
      <c r="C88" s="12" t="s">
        <v>20</v>
      </c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</row>
    <row r="89" spans="1:30" x14ac:dyDescent="0.2">
      <c r="A89" s="88" t="s">
        <v>8</v>
      </c>
      <c r="B89" s="89">
        <f ca="1">(B36)/(B34-B69/1000*B37-B36)</f>
        <v>0.1179523472517103</v>
      </c>
      <c r="C89" s="90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</row>
    <row r="90" spans="1:30" x14ac:dyDescent="0.2">
      <c r="A90" s="73" t="s">
        <v>9</v>
      </c>
      <c r="B90" s="91">
        <f ca="1">B91*1000000000</f>
        <v>527.53745515931621</v>
      </c>
      <c r="C90" s="90" t="s">
        <v>1</v>
      </c>
      <c r="D90" s="145" t="str">
        <f ca="1">IF(B90&lt;200,"&lt;-- Minimum On Time is 200ns!!","&lt;-- Typical On Time. Minimum On Time of the NCP1034 is 200ns")</f>
        <v>&lt;-- Typical On Time. Minimum On Time of the NCP1034 is 200ns</v>
      </c>
      <c r="E90" s="146"/>
      <c r="F90" s="146"/>
      <c r="G90" s="146"/>
      <c r="H90" s="146"/>
    </row>
    <row r="91" spans="1:30" hidden="1" x14ac:dyDescent="0.2">
      <c r="A91" s="73"/>
      <c r="B91" s="92">
        <f ca="1">B89/(B42*(B89+1))</f>
        <v>5.2753745515931626E-7</v>
      </c>
      <c r="C91" s="90"/>
    </row>
    <row r="92" spans="1:30" x14ac:dyDescent="0.2">
      <c r="A92" s="73" t="s">
        <v>13</v>
      </c>
      <c r="B92" s="93">
        <f ca="1">B93*1000000</f>
        <v>4.472462544840683</v>
      </c>
      <c r="C92" s="45" t="s">
        <v>259</v>
      </c>
    </row>
    <row r="93" spans="1:30" hidden="1" x14ac:dyDescent="0.2">
      <c r="A93" s="73"/>
      <c r="B93" s="92">
        <f ca="1">B91*(1/B89)</f>
        <v>4.4724625448406832E-6</v>
      </c>
      <c r="C93" s="90"/>
    </row>
    <row r="94" spans="1:30" x14ac:dyDescent="0.2">
      <c r="A94" s="13" t="s">
        <v>14</v>
      </c>
      <c r="B94" s="94">
        <f ca="1">B95*100</f>
        <v>10.550749103186325</v>
      </c>
      <c r="C94" s="90" t="s">
        <v>29</v>
      </c>
      <c r="D94" s="145" t="s">
        <v>285</v>
      </c>
      <c r="E94" s="146"/>
      <c r="F94" s="146"/>
      <c r="G94" s="146"/>
      <c r="H94" s="146"/>
    </row>
    <row r="95" spans="1:30" hidden="1" x14ac:dyDescent="0.2">
      <c r="A95" s="13"/>
      <c r="B95" s="92">
        <f ca="1">B91/(B93+B91)</f>
        <v>0.10550749103186326</v>
      </c>
      <c r="C95" s="95"/>
      <c r="D95" s="14"/>
      <c r="E95" s="14"/>
      <c r="F95" s="14"/>
      <c r="G95" s="14"/>
      <c r="H95" s="14"/>
    </row>
    <row r="96" spans="1:30" x14ac:dyDescent="0.2">
      <c r="A96" s="88" t="s">
        <v>8</v>
      </c>
      <c r="B96" s="89">
        <f ca="1">(B36)/(B33-B69/1000*B37-B36)</f>
        <v>0.15436863229391787</v>
      </c>
      <c r="C96" s="90"/>
    </row>
    <row r="97" spans="1:9" hidden="1" x14ac:dyDescent="0.2">
      <c r="A97" s="73" t="s">
        <v>9</v>
      </c>
      <c r="B97" s="133">
        <f ca="1">B98*1000000000</f>
        <v>668.62797539449048</v>
      </c>
      <c r="C97" s="90" t="s">
        <v>1</v>
      </c>
      <c r="D97" s="145" t="str">
        <f ca="1">IF(B97&lt;200,"&lt;-- Minimum On Time is 200ns!!","&lt;-- On Time. Minimum On Time of the NCP1034 is 200ns")</f>
        <v>&lt;-- On Time. Minimum On Time of the NCP1034 is 200ns</v>
      </c>
      <c r="E97" s="146"/>
      <c r="F97" s="146"/>
      <c r="G97" s="146"/>
      <c r="H97" s="146"/>
    </row>
    <row r="98" spans="1:9" hidden="1" x14ac:dyDescent="0.2">
      <c r="A98" s="73"/>
      <c r="B98" s="92">
        <f ca="1">B96/(B42*(B96+1))</f>
        <v>6.6862797539449044E-7</v>
      </c>
      <c r="C98" s="90"/>
    </row>
    <row r="99" spans="1:9" hidden="1" x14ac:dyDescent="0.2">
      <c r="A99" s="73" t="s">
        <v>13</v>
      </c>
      <c r="B99" s="109">
        <f ca="1">B100*1000000</f>
        <v>4.3313720246055096</v>
      </c>
      <c r="C99" s="45" t="s">
        <v>259</v>
      </c>
    </row>
    <row r="100" spans="1:9" hidden="1" x14ac:dyDescent="0.2">
      <c r="A100" s="73"/>
      <c r="B100" s="92">
        <f ca="1">B98*(1/B96)</f>
        <v>4.3313720246055099E-6</v>
      </c>
      <c r="C100" s="90"/>
    </row>
    <row r="101" spans="1:9" x14ac:dyDescent="0.2">
      <c r="A101" s="13" t="s">
        <v>371</v>
      </c>
      <c r="B101" s="94">
        <f ca="1">B102*100</f>
        <v>13.372559507889809</v>
      </c>
      <c r="C101" s="90" t="s">
        <v>29</v>
      </c>
      <c r="D101" s="145" t="s">
        <v>369</v>
      </c>
      <c r="E101" s="146"/>
      <c r="F101" s="146"/>
      <c r="G101" s="146"/>
      <c r="H101" s="146"/>
      <c r="I101" s="146"/>
    </row>
    <row r="102" spans="1:9" hidden="1" x14ac:dyDescent="0.2">
      <c r="A102" s="13"/>
      <c r="B102" s="92">
        <f ca="1">B98/(B100+B98)</f>
        <v>0.13372559507889809</v>
      </c>
      <c r="C102" s="95"/>
      <c r="D102" s="14"/>
      <c r="E102" s="14"/>
      <c r="F102" s="14"/>
      <c r="G102" s="14"/>
      <c r="H102" s="14"/>
    </row>
    <row r="103" spans="1:9" hidden="1" x14ac:dyDescent="0.2">
      <c r="A103" s="88" t="s">
        <v>8</v>
      </c>
      <c r="B103" s="134">
        <f ca="1">(B36)/(B32-B69/1000*B37-B36)</f>
        <v>9.1928663357234791E-2</v>
      </c>
      <c r="C103" s="90"/>
    </row>
    <row r="104" spans="1:9" x14ac:dyDescent="0.2">
      <c r="A104" s="73" t="s">
        <v>370</v>
      </c>
      <c r="B104" s="91">
        <f ca="1">B105*1000000000</f>
        <v>420.94628725374645</v>
      </c>
      <c r="C104" s="90" t="s">
        <v>1</v>
      </c>
      <c r="D104" s="145" t="str">
        <f ca="1">IF(B104&lt;200,"&lt;-- Minimum On Time is 200ns!!","&lt;-- Minimum On Time. Minimum On Time of the NCP1034 is 200ns")</f>
        <v>&lt;-- Minimum On Time. Minimum On Time of the NCP1034 is 200ns</v>
      </c>
      <c r="E104" s="146"/>
      <c r="F104" s="146"/>
      <c r="G104" s="146"/>
      <c r="H104" s="146"/>
      <c r="I104" s="146"/>
    </row>
    <row r="105" spans="1:9" hidden="1" x14ac:dyDescent="0.2">
      <c r="A105" s="73"/>
      <c r="B105" s="92">
        <f ca="1">B103/(B42*(B103+1))</f>
        <v>4.2094628725374645E-7</v>
      </c>
      <c r="C105" s="90"/>
    </row>
    <row r="106" spans="1:9" hidden="1" x14ac:dyDescent="0.2">
      <c r="A106" s="73" t="s">
        <v>13</v>
      </c>
      <c r="B106" s="109">
        <f ca="1">B107*1000000</f>
        <v>4.5790537127462541</v>
      </c>
      <c r="C106" s="45" t="s">
        <v>259</v>
      </c>
    </row>
    <row r="107" spans="1:9" hidden="1" x14ac:dyDescent="0.2">
      <c r="A107" s="73"/>
      <c r="B107" s="92">
        <f ca="1">B105*(1/B103)</f>
        <v>4.5790537127462544E-6</v>
      </c>
      <c r="C107" s="90"/>
    </row>
    <row r="108" spans="1:9" hidden="1" x14ac:dyDescent="0.2">
      <c r="A108" s="13" t="s">
        <v>14</v>
      </c>
      <c r="B108" s="135">
        <f ca="1">B109*100</f>
        <v>8.4189257450749277</v>
      </c>
      <c r="C108" s="90" t="s">
        <v>29</v>
      </c>
      <c r="D108" s="145" t="s">
        <v>285</v>
      </c>
      <c r="E108" s="146"/>
      <c r="F108" s="146"/>
      <c r="G108" s="146"/>
      <c r="H108" s="146"/>
    </row>
    <row r="109" spans="1:9" hidden="1" x14ac:dyDescent="0.2">
      <c r="A109" s="13"/>
      <c r="B109" s="92">
        <f ca="1">B105/(B107+B105)</f>
        <v>8.4189257450749275E-2</v>
      </c>
      <c r="C109" s="95"/>
      <c r="D109" s="14"/>
      <c r="E109" s="14"/>
      <c r="F109" s="14"/>
      <c r="G109" s="14"/>
      <c r="H109" s="14"/>
    </row>
    <row r="110" spans="1:9" x14ac:dyDescent="0.2">
      <c r="A110" s="12"/>
      <c r="B110" s="95"/>
      <c r="C110" s="95"/>
      <c r="D110" s="14"/>
      <c r="E110" s="14"/>
      <c r="F110" s="14"/>
      <c r="G110" s="14"/>
      <c r="H110" s="14"/>
    </row>
    <row r="111" spans="1:9" x14ac:dyDescent="0.2">
      <c r="A111" s="15" t="s">
        <v>314</v>
      </c>
      <c r="C111" s="23"/>
    </row>
    <row r="112" spans="1:9" hidden="1" x14ac:dyDescent="0.2">
      <c r="A112" s="15"/>
      <c r="C112" s="23"/>
    </row>
    <row r="113" spans="1:7" x14ac:dyDescent="0.2">
      <c r="A113" s="12"/>
      <c r="C113" s="23" t="s">
        <v>20</v>
      </c>
    </row>
    <row r="114" spans="1:7" x14ac:dyDescent="0.2">
      <c r="A114" s="132" t="s">
        <v>260</v>
      </c>
      <c r="B114" s="101">
        <v>35</v>
      </c>
      <c r="C114" s="73" t="s">
        <v>29</v>
      </c>
      <c r="D114" s="145" t="str">
        <f>IF(OR(B114&lt;10,B114&gt;35),"&lt;-- DIL / IL(avg) is out of recommended range","&lt;-- DIL / IL(avg)")</f>
        <v>&lt;-- DIL / IL(avg)</v>
      </c>
      <c r="E114" s="146"/>
      <c r="F114" s="146"/>
      <c r="G114" s="146"/>
    </row>
    <row r="115" spans="1:7" x14ac:dyDescent="0.2">
      <c r="A115" s="73" t="s">
        <v>5</v>
      </c>
      <c r="B115" s="97">
        <f>B37*B114/100</f>
        <v>1.75</v>
      </c>
      <c r="C115" s="73" t="s">
        <v>21</v>
      </c>
      <c r="D115" t="s">
        <v>44</v>
      </c>
    </row>
    <row r="116" spans="1:7" x14ac:dyDescent="0.2">
      <c r="A116" s="13" t="s">
        <v>10</v>
      </c>
      <c r="B116" s="97">
        <f>B37</f>
        <v>5</v>
      </c>
      <c r="C116" s="73" t="s">
        <v>21</v>
      </c>
      <c r="D116" t="s">
        <v>286</v>
      </c>
    </row>
    <row r="117" spans="1:7" x14ac:dyDescent="0.2">
      <c r="A117" s="13" t="s">
        <v>11</v>
      </c>
      <c r="B117" s="97">
        <f>B116+(B115/2)</f>
        <v>5.875</v>
      </c>
      <c r="C117" s="73" t="s">
        <v>21</v>
      </c>
      <c r="D117" t="s">
        <v>287</v>
      </c>
    </row>
    <row r="118" spans="1:7" x14ac:dyDescent="0.2">
      <c r="A118" s="13" t="s">
        <v>49</v>
      </c>
      <c r="B118" s="19">
        <f ca="1">B119*1000000</f>
        <v>12.950290899225273</v>
      </c>
      <c r="C118" s="20" t="s">
        <v>261</v>
      </c>
      <c r="D118" t="s">
        <v>288</v>
      </c>
      <c r="G118" s="11" t="s">
        <v>289</v>
      </c>
    </row>
    <row r="119" spans="1:7" hidden="1" x14ac:dyDescent="0.2">
      <c r="A119" s="21"/>
      <c r="B119" s="40">
        <f ca="1">((B34-0.008*B37-B36)/B115)*B91</f>
        <v>1.2950290899225272E-5</v>
      </c>
      <c r="C119" s="22"/>
    </row>
    <row r="120" spans="1:7" x14ac:dyDescent="0.2">
      <c r="A120" s="13" t="s">
        <v>50</v>
      </c>
      <c r="B120" s="1">
        <v>12.6</v>
      </c>
      <c r="C120" s="85" t="s">
        <v>46</v>
      </c>
      <c r="D120" t="s">
        <v>290</v>
      </c>
    </row>
    <row r="121" spans="1:7" x14ac:dyDescent="0.2">
      <c r="B121" s="139"/>
    </row>
    <row r="122" spans="1:7" hidden="1" x14ac:dyDescent="0.2"/>
    <row r="123" spans="1:7" x14ac:dyDescent="0.2">
      <c r="A123" s="15" t="s">
        <v>372</v>
      </c>
    </row>
    <row r="124" spans="1:7" hidden="1" x14ac:dyDescent="0.2"/>
    <row r="125" spans="1:7" x14ac:dyDescent="0.2">
      <c r="A125" s="87"/>
      <c r="B125" s="87"/>
      <c r="C125" s="12" t="s">
        <v>20</v>
      </c>
    </row>
    <row r="126" spans="1:7" x14ac:dyDescent="0.2">
      <c r="A126" s="16" t="s">
        <v>262</v>
      </c>
      <c r="B126" s="96">
        <v>2</v>
      </c>
      <c r="C126" s="73" t="s">
        <v>29</v>
      </c>
      <c r="D126" t="s">
        <v>291</v>
      </c>
    </row>
    <row r="127" spans="1:7" x14ac:dyDescent="0.2">
      <c r="A127" s="73" t="s">
        <v>27</v>
      </c>
      <c r="B127" s="97">
        <f>(B37*B36/B34*(1-B36/B34))/(B42*B126/100*B34)*1000000</f>
        <v>2.4301034432870372</v>
      </c>
      <c r="C127" s="20" t="s">
        <v>263</v>
      </c>
      <c r="D127" t="s">
        <v>292</v>
      </c>
    </row>
    <row r="128" spans="1:7" ht="15.75" x14ac:dyDescent="0.3">
      <c r="A128" s="13" t="s">
        <v>69</v>
      </c>
      <c r="B128" s="97">
        <f>B37*SQRT(B36*(1-B36/B34)/B34)</f>
        <v>1.527383156105748</v>
      </c>
      <c r="C128" s="73" t="s">
        <v>21</v>
      </c>
    </row>
    <row r="129" spans="1:4" x14ac:dyDescent="0.2">
      <c r="A129" s="21"/>
      <c r="B129" s="140"/>
      <c r="C129" s="95"/>
    </row>
    <row r="130" spans="1:4" x14ac:dyDescent="0.2">
      <c r="A130" s="17" t="s">
        <v>375</v>
      </c>
      <c r="B130" s="24"/>
      <c r="C130" s="24"/>
    </row>
    <row r="131" spans="1:4" hidden="1" x14ac:dyDescent="0.2">
      <c r="A131" s="17"/>
      <c r="B131" s="24"/>
      <c r="C131" s="24"/>
    </row>
    <row r="132" spans="1:4" x14ac:dyDescent="0.2">
      <c r="C132" s="12" t="s">
        <v>20</v>
      </c>
    </row>
    <row r="133" spans="1:4" hidden="1" x14ac:dyDescent="0.2">
      <c r="A133" s="13" t="s">
        <v>6</v>
      </c>
      <c r="B133" s="25">
        <v>1640</v>
      </c>
      <c r="C133" s="26" t="s">
        <v>25</v>
      </c>
      <c r="D133" t="s">
        <v>17</v>
      </c>
    </row>
    <row r="134" spans="1:4" hidden="1" x14ac:dyDescent="0.2">
      <c r="A134" s="13"/>
      <c r="B134" s="27">
        <f>B133*0.000001</f>
        <v>1.64E-3</v>
      </c>
      <c r="C134" s="26"/>
    </row>
    <row r="135" spans="1:4" hidden="1" x14ac:dyDescent="0.2">
      <c r="A135" s="13" t="s">
        <v>7</v>
      </c>
      <c r="B135" s="28">
        <v>6</v>
      </c>
      <c r="C135" s="85" t="s">
        <v>46</v>
      </c>
      <c r="D135" t="s">
        <v>18</v>
      </c>
    </row>
    <row r="136" spans="1:4" hidden="1" x14ac:dyDescent="0.2">
      <c r="A136" s="73"/>
      <c r="B136" s="98">
        <f>B135*0.001</f>
        <v>6.0000000000000001E-3</v>
      </c>
      <c r="C136" s="73"/>
    </row>
    <row r="137" spans="1:4" hidden="1" x14ac:dyDescent="0.2">
      <c r="A137" s="13" t="s">
        <v>12</v>
      </c>
      <c r="B137" s="91">
        <f>B138*1000</f>
        <v>10.52115883647714</v>
      </c>
      <c r="C137" s="90" t="s">
        <v>26</v>
      </c>
      <c r="D137" t="s">
        <v>41</v>
      </c>
    </row>
    <row r="138" spans="1:4" hidden="1" x14ac:dyDescent="0.2">
      <c r="A138" s="12"/>
      <c r="B138" s="83">
        <f>B115*SQRT((1/(8*B42*B134))*(1/(8*B42*B134))+B136*B136)</f>
        <v>1.052115883647714E-2</v>
      </c>
      <c r="C138" s="95"/>
    </row>
    <row r="139" spans="1:4" hidden="1" x14ac:dyDescent="0.2">
      <c r="A139" s="12"/>
      <c r="B139" s="95"/>
      <c r="C139" s="95"/>
    </row>
    <row r="140" spans="1:4" hidden="1" x14ac:dyDescent="0.2">
      <c r="A140" s="13" t="s">
        <v>27</v>
      </c>
      <c r="B140" s="99">
        <v>100</v>
      </c>
      <c r="C140" s="20" t="s">
        <v>263</v>
      </c>
      <c r="D140" t="s">
        <v>28</v>
      </c>
    </row>
    <row r="141" spans="1:4" hidden="1" x14ac:dyDescent="0.2">
      <c r="A141" s="12"/>
      <c r="B141" s="100"/>
      <c r="C141" s="6"/>
    </row>
    <row r="142" spans="1:4" hidden="1" x14ac:dyDescent="0.2">
      <c r="A142" s="12"/>
      <c r="B142" s="100"/>
      <c r="C142" s="6"/>
    </row>
    <row r="143" spans="1:4" x14ac:dyDescent="0.2">
      <c r="A143" s="73" t="s">
        <v>117</v>
      </c>
      <c r="B143" s="101">
        <v>140</v>
      </c>
      <c r="C143" s="20" t="s">
        <v>263</v>
      </c>
    </row>
    <row r="144" spans="1:4" ht="15.75" x14ac:dyDescent="0.3">
      <c r="A144" s="73" t="s">
        <v>128</v>
      </c>
      <c r="B144" s="101">
        <v>3</v>
      </c>
      <c r="C144" s="29" t="s">
        <v>46</v>
      </c>
    </row>
    <row r="145" spans="1:9" x14ac:dyDescent="0.2">
      <c r="A145" s="16" t="s">
        <v>264</v>
      </c>
      <c r="B145" s="102">
        <f>B115*(1/(8*B143*0.000001*B42)+B144*0.001)*1000</f>
        <v>13.062500000000002</v>
      </c>
      <c r="C145" s="73" t="s">
        <v>26</v>
      </c>
      <c r="D145" t="s">
        <v>293</v>
      </c>
    </row>
    <row r="146" spans="1:9" hidden="1" x14ac:dyDescent="0.2">
      <c r="A146" s="12"/>
      <c r="B146" s="100"/>
      <c r="C146" s="6"/>
    </row>
    <row r="147" spans="1:9" hidden="1" x14ac:dyDescent="0.2">
      <c r="A147" s="12"/>
      <c r="B147" s="95"/>
      <c r="C147" s="95"/>
      <c r="F147" s="30"/>
      <c r="G147" s="30"/>
      <c r="H147" s="30"/>
      <c r="I147" s="30"/>
    </row>
    <row r="148" spans="1:9" hidden="1" x14ac:dyDescent="0.2">
      <c r="A148" s="17" t="s">
        <v>51</v>
      </c>
    </row>
    <row r="149" spans="1:9" hidden="1" x14ac:dyDescent="0.2">
      <c r="C149" s="12" t="s">
        <v>20</v>
      </c>
    </row>
    <row r="150" spans="1:9" hidden="1" x14ac:dyDescent="0.2">
      <c r="A150" s="73" t="s">
        <v>15</v>
      </c>
      <c r="B150" s="97">
        <f>B36</f>
        <v>5</v>
      </c>
      <c r="C150" s="103" t="s">
        <v>0</v>
      </c>
      <c r="D150" t="s">
        <v>22</v>
      </c>
    </row>
    <row r="151" spans="1:9" hidden="1" x14ac:dyDescent="0.2">
      <c r="A151" s="13" t="s">
        <v>58</v>
      </c>
      <c r="B151" s="2">
        <v>22000</v>
      </c>
      <c r="C151" s="20" t="s">
        <v>32</v>
      </c>
      <c r="D151" t="s">
        <v>24</v>
      </c>
    </row>
    <row r="152" spans="1:9" hidden="1" x14ac:dyDescent="0.2">
      <c r="A152" s="73" t="s">
        <v>92</v>
      </c>
      <c r="B152" s="104">
        <f>B153</f>
        <v>66000</v>
      </c>
      <c r="C152" s="20" t="s">
        <v>32</v>
      </c>
      <c r="D152" t="s">
        <v>23</v>
      </c>
    </row>
    <row r="153" spans="1:9" hidden="1" x14ac:dyDescent="0.2">
      <c r="A153" s="72"/>
      <c r="B153" s="105">
        <f>B151*((B150/1.25)-1)</f>
        <v>66000</v>
      </c>
      <c r="C153" s="84"/>
    </row>
    <row r="154" spans="1:9" hidden="1" x14ac:dyDescent="0.2">
      <c r="A154" s="72"/>
      <c r="B154" s="84"/>
      <c r="C154" s="84"/>
    </row>
    <row r="155" spans="1:9" hidden="1" x14ac:dyDescent="0.2">
      <c r="A155" s="17" t="s">
        <v>52</v>
      </c>
      <c r="B155" s="84"/>
      <c r="C155" s="84"/>
    </row>
    <row r="156" spans="1:9" hidden="1" x14ac:dyDescent="0.2">
      <c r="A156" s="72"/>
      <c r="B156" s="84"/>
      <c r="C156" s="84"/>
    </row>
    <row r="157" spans="1:9" hidden="1" x14ac:dyDescent="0.2">
      <c r="A157" s="13" t="s">
        <v>92</v>
      </c>
      <c r="B157" s="2">
        <v>66000</v>
      </c>
      <c r="C157" s="20" t="s">
        <v>32</v>
      </c>
      <c r="D157" t="s">
        <v>108</v>
      </c>
    </row>
    <row r="158" spans="1:9" hidden="1" x14ac:dyDescent="0.2">
      <c r="A158" s="73" t="s">
        <v>15</v>
      </c>
      <c r="B158" s="106">
        <f>1.25*(1+B157/B151)</f>
        <v>5</v>
      </c>
      <c r="C158" s="85" t="s">
        <v>0</v>
      </c>
    </row>
    <row r="159" spans="1:9" hidden="1" x14ac:dyDescent="0.2">
      <c r="A159" s="72"/>
    </row>
    <row r="160" spans="1:9" x14ac:dyDescent="0.2">
      <c r="A160" s="72"/>
      <c r="B160" s="139"/>
    </row>
    <row r="161" spans="1:29" x14ac:dyDescent="0.2">
      <c r="A161" s="17" t="s">
        <v>374</v>
      </c>
    </row>
    <row r="162" spans="1:29" x14ac:dyDescent="0.2">
      <c r="C162" s="12" t="s">
        <v>20</v>
      </c>
    </row>
    <row r="163" spans="1:29" x14ac:dyDescent="0.2">
      <c r="A163" s="73" t="s">
        <v>373</v>
      </c>
      <c r="B163" s="101">
        <v>15</v>
      </c>
      <c r="C163" s="103" t="s">
        <v>68</v>
      </c>
      <c r="D163" s="145" t="str">
        <f ca="1">IF(B163/10&lt;B164,"&lt;-- Soft Start Time is too Short for This Compensation!!!","&lt;-- Soft Start Time")</f>
        <v>&lt;-- Soft Start Time</v>
      </c>
      <c r="E163" s="146"/>
      <c r="F163" s="146"/>
      <c r="G163" s="146"/>
      <c r="H163" s="146"/>
    </row>
    <row r="164" spans="1:29" hidden="1" x14ac:dyDescent="0.2">
      <c r="A164" s="73" t="s">
        <v>136</v>
      </c>
      <c r="B164" s="107">
        <f ca="1">((L21*0.000000001)/(84*0.000001)-L21*0.000000001*L20*1000)*1000</f>
        <v>9.1051992622356706E-2</v>
      </c>
      <c r="C164" s="103" t="s">
        <v>68</v>
      </c>
    </row>
    <row r="165" spans="1:29" x14ac:dyDescent="0.2">
      <c r="A165" s="13" t="s">
        <v>67</v>
      </c>
      <c r="B165" s="108">
        <f>0.000015*B163*1000000</f>
        <v>225</v>
      </c>
      <c r="C165" s="103" t="s">
        <v>61</v>
      </c>
      <c r="D165" t="s">
        <v>294</v>
      </c>
    </row>
    <row r="166" spans="1:29" x14ac:dyDescent="0.2">
      <c r="B166" s="139"/>
      <c r="J166" s="14"/>
      <c r="K166" s="14"/>
    </row>
    <row r="167" spans="1:29" x14ac:dyDescent="0.2">
      <c r="A167" s="17" t="s">
        <v>315</v>
      </c>
      <c r="J167" s="14"/>
      <c r="K167" s="14"/>
    </row>
    <row r="168" spans="1:29" hidden="1" x14ac:dyDescent="0.2">
      <c r="J168" s="14"/>
      <c r="K168" s="14"/>
    </row>
    <row r="169" spans="1:29" x14ac:dyDescent="0.2">
      <c r="A169" s="12"/>
      <c r="B169" s="95"/>
      <c r="C169" s="12" t="s">
        <v>20</v>
      </c>
      <c r="J169" s="14"/>
      <c r="K169" s="14"/>
    </row>
    <row r="170" spans="1:29" x14ac:dyDescent="0.2">
      <c r="A170" s="85" t="s">
        <v>123</v>
      </c>
      <c r="B170" s="142">
        <v>10</v>
      </c>
      <c r="C170" s="85" t="s">
        <v>47</v>
      </c>
      <c r="D170" t="s">
        <v>295</v>
      </c>
      <c r="J170" s="14"/>
      <c r="K170" s="14"/>
    </row>
    <row r="171" spans="1:29" x14ac:dyDescent="0.2">
      <c r="A171" s="13" t="s">
        <v>59</v>
      </c>
      <c r="B171" s="53">
        <f ca="1">B170/(3.56*B50/1000*B117)</f>
        <v>14.941429595983742</v>
      </c>
      <c r="C171" s="85" t="s">
        <v>47</v>
      </c>
      <c r="D171" t="s">
        <v>376</v>
      </c>
      <c r="J171" s="14"/>
      <c r="K171" s="14"/>
    </row>
    <row r="172" spans="1:29" x14ac:dyDescent="0.2">
      <c r="A172" s="13" t="s">
        <v>59</v>
      </c>
      <c r="B172" s="143">
        <v>11</v>
      </c>
      <c r="C172" s="85" t="s">
        <v>47</v>
      </c>
      <c r="D172" t="s">
        <v>296</v>
      </c>
      <c r="J172" s="14"/>
      <c r="K172" s="14"/>
    </row>
    <row r="173" spans="1:29" x14ac:dyDescent="0.2">
      <c r="A173" s="13" t="s">
        <v>124</v>
      </c>
      <c r="B173" s="19">
        <f ca="1">-B170*1000/(3.56*B50/1000*B172*1000)</f>
        <v>-7.9800817160367714</v>
      </c>
      <c r="C173" s="85" t="s">
        <v>21</v>
      </c>
      <c r="D173" t="s">
        <v>297</v>
      </c>
      <c r="J173" s="14"/>
      <c r="K173" s="14"/>
    </row>
    <row r="174" spans="1:29" x14ac:dyDescent="0.2">
      <c r="A174" s="13" t="s">
        <v>195</v>
      </c>
      <c r="B174" s="93">
        <f ca="1">(5125-0.184*B170*1000)/(B172*1000*B50/1000)</f>
        <v>9.3323863636363633</v>
      </c>
      <c r="C174" s="85" t="s">
        <v>21</v>
      </c>
      <c r="D174" t="s">
        <v>347</v>
      </c>
      <c r="J174" s="14"/>
      <c r="K174" s="14"/>
      <c r="U174" s="38"/>
      <c r="V174" s="38"/>
      <c r="W174" s="38"/>
      <c r="X174" s="38"/>
      <c r="Y174" s="38"/>
      <c r="Z174" s="38"/>
      <c r="AA174" s="38"/>
      <c r="AB174" s="38"/>
      <c r="AC174" s="38"/>
    </row>
    <row r="175" spans="1:29" s="38" customFormat="1" hidden="1" x14ac:dyDescent="0.2">
      <c r="A175" s="58" t="s">
        <v>125</v>
      </c>
      <c r="B175" s="109">
        <f ca="1">(2562.5-0.2556*B170*1000)/(B172*1000*B50/1000)*1000</f>
        <v>18.465909090909093</v>
      </c>
      <c r="C175" s="110" t="s">
        <v>126</v>
      </c>
      <c r="D175" s="38" t="s">
        <v>127</v>
      </c>
      <c r="J175" s="59"/>
      <c r="K175" s="59"/>
      <c r="U175"/>
      <c r="V175"/>
      <c r="W175"/>
      <c r="X175"/>
      <c r="Y175"/>
      <c r="Z175"/>
      <c r="AA175"/>
      <c r="AB175"/>
      <c r="AC175"/>
    </row>
    <row r="176" spans="1:29" x14ac:dyDescent="0.2">
      <c r="B176" s="139"/>
      <c r="J176" s="14"/>
      <c r="K176" s="14"/>
    </row>
    <row r="177" spans="1:11" x14ac:dyDescent="0.2">
      <c r="A177" s="17" t="s">
        <v>316</v>
      </c>
      <c r="J177" s="14"/>
      <c r="K177" s="14"/>
    </row>
    <row r="178" spans="1:11" x14ac:dyDescent="0.2">
      <c r="C178" s="79" t="s">
        <v>20</v>
      </c>
      <c r="J178" s="14"/>
      <c r="K178" s="14"/>
    </row>
    <row r="179" spans="1:11" x14ac:dyDescent="0.2">
      <c r="A179" s="85" t="s">
        <v>130</v>
      </c>
      <c r="B179" s="142">
        <v>36</v>
      </c>
      <c r="C179" s="85" t="s">
        <v>0</v>
      </c>
      <c r="D179" s="145" t="str">
        <f>IF(B179&gt;B34,"&lt;-- Set Voltage is Higher Than Input!","&lt;-- Set UVLO Voltage")</f>
        <v>&lt;-- Set UVLO Voltage</v>
      </c>
      <c r="E179" s="146"/>
      <c r="F179" s="146"/>
      <c r="J179" s="14"/>
      <c r="K179" s="14"/>
    </row>
    <row r="180" spans="1:11" x14ac:dyDescent="0.2">
      <c r="A180" s="85" t="s">
        <v>129</v>
      </c>
      <c r="B180" s="82">
        <f>B179*1.15/1.25</f>
        <v>33.119999999999997</v>
      </c>
      <c r="C180" s="85" t="s">
        <v>0</v>
      </c>
      <c r="D180" t="s">
        <v>302</v>
      </c>
      <c r="J180" s="14"/>
      <c r="K180" s="14"/>
    </row>
    <row r="181" spans="1:11" x14ac:dyDescent="0.2">
      <c r="A181" s="85" t="s">
        <v>131</v>
      </c>
      <c r="B181" s="142">
        <v>3.9</v>
      </c>
      <c r="C181" s="85" t="s">
        <v>47</v>
      </c>
      <c r="D181" t="s">
        <v>24</v>
      </c>
      <c r="J181" s="14"/>
      <c r="K181" s="14"/>
    </row>
    <row r="182" spans="1:11" x14ac:dyDescent="0.2">
      <c r="A182" s="85" t="s">
        <v>132</v>
      </c>
      <c r="B182" s="97">
        <f>B181*((B179/1.25)-1)</f>
        <v>108.42</v>
      </c>
      <c r="C182" s="85" t="s">
        <v>47</v>
      </c>
      <c r="D182" t="s">
        <v>23</v>
      </c>
      <c r="J182" s="14"/>
      <c r="K182" s="14"/>
    </row>
    <row r="183" spans="1:11" x14ac:dyDescent="0.2">
      <c r="A183" s="85" t="s">
        <v>132</v>
      </c>
      <c r="B183" s="142">
        <v>110</v>
      </c>
      <c r="C183" s="85" t="s">
        <v>47</v>
      </c>
      <c r="D183" t="s">
        <v>298</v>
      </c>
      <c r="J183" s="14"/>
      <c r="K183" s="14"/>
    </row>
    <row r="184" spans="1:11" x14ac:dyDescent="0.2">
      <c r="A184" s="85" t="s">
        <v>130</v>
      </c>
      <c r="B184" s="106">
        <f>1.25*(1+B183/B181)</f>
        <v>36.506410256410255</v>
      </c>
      <c r="C184" s="85" t="s">
        <v>0</v>
      </c>
      <c r="D184" t="s">
        <v>303</v>
      </c>
      <c r="J184" s="14"/>
      <c r="K184" s="14"/>
    </row>
    <row r="185" spans="1:11" x14ac:dyDescent="0.2">
      <c r="B185" s="139"/>
      <c r="J185" s="14"/>
      <c r="K185" s="14"/>
    </row>
    <row r="186" spans="1:11" x14ac:dyDescent="0.2">
      <c r="A186" s="17" t="s">
        <v>317</v>
      </c>
      <c r="J186" s="14"/>
      <c r="K186" s="14"/>
    </row>
    <row r="187" spans="1:11" x14ac:dyDescent="0.2">
      <c r="J187" s="14"/>
      <c r="K187" s="14"/>
    </row>
    <row r="188" spans="1:11" x14ac:dyDescent="0.2">
      <c r="A188" s="152" t="str">
        <f ca="1">IF('Compensation II (PI)'!B19=1,"See Compensation II (PI) sheet for details",IF('Compensation III (PID) Method I'!B19=1,"See Compensation III (PID) Method I sheet for details",IF('Compensation III (PID) Metod II'!B19=1,"See Compensation III (PID) Method II sheet for details","There is not suitable values for any compensation")))</f>
        <v>See Compensation III (PID) Method II sheet for details</v>
      </c>
      <c r="B188" s="152"/>
      <c r="C188" s="152"/>
      <c r="D188" s="152"/>
      <c r="J188" s="14"/>
      <c r="K188" s="14"/>
    </row>
    <row r="190" spans="1:11" x14ac:dyDescent="0.2">
      <c r="A190" s="17" t="s">
        <v>318</v>
      </c>
    </row>
    <row r="191" spans="1:11" x14ac:dyDescent="0.2">
      <c r="C191" s="79" t="s">
        <v>20</v>
      </c>
    </row>
    <row r="192" spans="1:11" x14ac:dyDescent="0.2">
      <c r="A192" s="85" t="s">
        <v>30</v>
      </c>
      <c r="B192" s="106">
        <f>B37^2*B120/1000</f>
        <v>0.315</v>
      </c>
      <c r="C192" s="85" t="s">
        <v>32</v>
      </c>
      <c r="D192" t="s">
        <v>248</v>
      </c>
    </row>
    <row r="193" spans="1:6" x14ac:dyDescent="0.2">
      <c r="A193" s="85" t="s">
        <v>33</v>
      </c>
      <c r="B193" s="111">
        <v>1.2</v>
      </c>
      <c r="C193" s="85" t="s">
        <v>32</v>
      </c>
      <c r="D193" t="s">
        <v>335</v>
      </c>
    </row>
    <row r="194" spans="1:6" x14ac:dyDescent="0.2">
      <c r="A194" s="85" t="s">
        <v>31</v>
      </c>
      <c r="B194" s="106">
        <f>0.0025*B35</f>
        <v>0.03</v>
      </c>
      <c r="C194" s="85" t="s">
        <v>32</v>
      </c>
      <c r="D194" t="s">
        <v>246</v>
      </c>
    </row>
    <row r="195" spans="1:6" x14ac:dyDescent="0.2">
      <c r="A195" s="85" t="s">
        <v>300</v>
      </c>
      <c r="B195" s="106">
        <f ca="1">(B72)*0.000000001*B35*B41*1000</f>
        <v>1.704E-2</v>
      </c>
      <c r="C195" s="85" t="s">
        <v>32</v>
      </c>
      <c r="D195" t="s">
        <v>200</v>
      </c>
    </row>
    <row r="196" spans="1:6" x14ac:dyDescent="0.2">
      <c r="A196" s="85" t="s">
        <v>301</v>
      </c>
      <c r="B196" s="106">
        <f ca="1">(B53)*0.000000001*B35*B41*1000</f>
        <v>5.7600000000000005E-2</v>
      </c>
      <c r="C196" s="85" t="s">
        <v>32</v>
      </c>
      <c r="D196" t="s">
        <v>201</v>
      </c>
    </row>
    <row r="197" spans="1:6" hidden="1" x14ac:dyDescent="0.2">
      <c r="A197" s="85" t="s">
        <v>196</v>
      </c>
      <c r="B197" s="110">
        <f ca="1">B195*E205/(2*(E205+B74))</f>
        <v>8.5199999999999998E-3</v>
      </c>
      <c r="C197" s="85"/>
    </row>
    <row r="198" spans="1:6" hidden="1" x14ac:dyDescent="0.2">
      <c r="A198" s="85" t="s">
        <v>197</v>
      </c>
      <c r="B198" s="110">
        <f ca="1">B195*E206/(2*(E206+B74))</f>
        <v>8.5199999999999998E-3</v>
      </c>
      <c r="C198" s="85"/>
    </row>
    <row r="199" spans="1:6" hidden="1" x14ac:dyDescent="0.2">
      <c r="A199" s="85" t="s">
        <v>198</v>
      </c>
      <c r="B199" s="110">
        <f ca="1">B196*E216/(2*(E216+B57))</f>
        <v>2.8800000000000003E-2</v>
      </c>
      <c r="C199" s="85"/>
    </row>
    <row r="200" spans="1:6" hidden="1" x14ac:dyDescent="0.2">
      <c r="A200" s="85" t="s">
        <v>199</v>
      </c>
      <c r="B200" s="110">
        <f ca="1">B196*E217/(2*(E217+B57))</f>
        <v>2.8800000000000003E-2</v>
      </c>
      <c r="C200" s="85"/>
    </row>
    <row r="201" spans="1:6" x14ac:dyDescent="0.2">
      <c r="A201" s="85" t="s">
        <v>55</v>
      </c>
      <c r="B201" s="106">
        <f ca="1">SUM(B197:B200)</f>
        <v>7.4640000000000012E-2</v>
      </c>
      <c r="C201" s="85" t="s">
        <v>32</v>
      </c>
      <c r="D201" t="s">
        <v>245</v>
      </c>
    </row>
    <row r="202" spans="1:6" x14ac:dyDescent="0.2">
      <c r="A202" s="85" t="s">
        <v>148</v>
      </c>
      <c r="B202" s="106">
        <f ca="1">(B37*B37*B69/1000*B95)</f>
        <v>0.32179784764718289</v>
      </c>
      <c r="C202" s="85" t="s">
        <v>32</v>
      </c>
      <c r="D202" t="s">
        <v>243</v>
      </c>
    </row>
    <row r="203" spans="1:6" x14ac:dyDescent="0.2">
      <c r="A203" s="85" t="s">
        <v>149</v>
      </c>
      <c r="B203" s="106">
        <f ca="1">(B37*B37*B50/1000*(1-B95))</f>
        <v>0.71559400717450938</v>
      </c>
      <c r="C203" s="85" t="s">
        <v>32</v>
      </c>
      <c r="D203" t="s">
        <v>244</v>
      </c>
    </row>
    <row r="204" spans="1:6" hidden="1" x14ac:dyDescent="0.2">
      <c r="A204" s="85" t="s">
        <v>167</v>
      </c>
      <c r="B204" s="110">
        <f ca="1">B75+B37/B76</f>
        <v>3.9259259259259256</v>
      </c>
      <c r="C204" s="85"/>
    </row>
    <row r="205" spans="1:6" hidden="1" x14ac:dyDescent="0.2">
      <c r="A205" s="85" t="s">
        <v>171</v>
      </c>
      <c r="B205" s="110">
        <f ca="1">(B35-B204)/(E205+B74)</f>
        <v>1.0092592592592593</v>
      </c>
      <c r="C205" s="85" t="s">
        <v>21</v>
      </c>
      <c r="D205" t="s">
        <v>168</v>
      </c>
      <c r="E205">
        <v>8</v>
      </c>
      <c r="F205" t="s">
        <v>169</v>
      </c>
    </row>
    <row r="206" spans="1:6" hidden="1" x14ac:dyDescent="0.2">
      <c r="A206" s="85" t="s">
        <v>173</v>
      </c>
      <c r="B206" s="110">
        <f ca="1">(B204)/(E206+B74)</f>
        <v>0.9814814814814814</v>
      </c>
      <c r="C206" s="85" t="s">
        <v>21</v>
      </c>
      <c r="D206" t="s">
        <v>170</v>
      </c>
      <c r="E206">
        <v>4</v>
      </c>
      <c r="F206" t="s">
        <v>169</v>
      </c>
    </row>
    <row r="207" spans="1:6" hidden="1" x14ac:dyDescent="0.2">
      <c r="A207" s="85" t="s">
        <v>174</v>
      </c>
      <c r="B207" s="110">
        <f ca="1">(B70+B71/2)*0.000000001</f>
        <v>4.3500000000000001E-9</v>
      </c>
      <c r="C207" s="85" t="s">
        <v>74</v>
      </c>
    </row>
    <row r="208" spans="1:6" hidden="1" x14ac:dyDescent="0.2">
      <c r="A208" s="85" t="s">
        <v>355</v>
      </c>
      <c r="B208" s="110">
        <f ca="1">((B71)*0.000000001)/B205</f>
        <v>1.6844036697247706E-9</v>
      </c>
      <c r="C208" s="85" t="s">
        <v>177</v>
      </c>
    </row>
    <row r="209" spans="1:11" hidden="1" x14ac:dyDescent="0.2">
      <c r="A209" s="85" t="s">
        <v>175</v>
      </c>
      <c r="B209" s="110">
        <f ca="1">B207/B205</f>
        <v>4.3100917431192657E-9</v>
      </c>
      <c r="C209" s="85" t="s">
        <v>177</v>
      </c>
    </row>
    <row r="210" spans="1:11" hidden="1" x14ac:dyDescent="0.2">
      <c r="A210" s="85" t="s">
        <v>356</v>
      </c>
      <c r="B210" s="128">
        <f ca="1">((B72-B71-B70)*0.000000001)*(E206+B74)/(B35/2)</f>
        <v>1.2666666666666664E-9</v>
      </c>
      <c r="C210" s="85" t="s">
        <v>177</v>
      </c>
    </row>
    <row r="211" spans="1:11" hidden="1" x14ac:dyDescent="0.2">
      <c r="A211" s="85" t="s">
        <v>176</v>
      </c>
      <c r="B211" s="110">
        <f ca="1">B207/B206</f>
        <v>4.4320754716981134E-9</v>
      </c>
      <c r="C211" s="85" t="s">
        <v>177</v>
      </c>
    </row>
    <row r="212" spans="1:11" hidden="1" x14ac:dyDescent="0.2">
      <c r="A212" s="85" t="s">
        <v>202</v>
      </c>
      <c r="B212" s="110">
        <f ca="1">(B34*ABS(B37-B115)/2)*B41*1000*(B209)</f>
        <v>6.7237431192660541E-2</v>
      </c>
      <c r="C212" s="85"/>
    </row>
    <row r="213" spans="1:11" hidden="1" x14ac:dyDescent="0.2">
      <c r="A213" s="85" t="s">
        <v>203</v>
      </c>
      <c r="B213" s="110">
        <f ca="1">(B34*ABS(B37+B115)/2)*B41*1000*(B211)</f>
        <v>0.14359924528301887</v>
      </c>
      <c r="C213" s="85"/>
    </row>
    <row r="214" spans="1:11" x14ac:dyDescent="0.2">
      <c r="A214" s="85" t="s">
        <v>166</v>
      </c>
      <c r="B214" s="106">
        <f ca="1">(B212+B213)</f>
        <v>0.21083667647567941</v>
      </c>
      <c r="C214" s="85" t="s">
        <v>32</v>
      </c>
      <c r="D214" t="s">
        <v>241</v>
      </c>
    </row>
    <row r="215" spans="1:11" hidden="1" x14ac:dyDescent="0.2">
      <c r="A215" s="85" t="s">
        <v>167</v>
      </c>
      <c r="B215" s="110">
        <f ca="1">B58+B37/B60</f>
        <v>3.3333333333333335</v>
      </c>
      <c r="C215" s="85"/>
    </row>
    <row r="216" spans="1:11" hidden="1" x14ac:dyDescent="0.2">
      <c r="A216" s="85" t="s">
        <v>179</v>
      </c>
      <c r="B216" s="110">
        <f ca="1">(E216+B57)*B55*1.8*0.000000000001</f>
        <v>1.21824E-8</v>
      </c>
      <c r="C216" s="85" t="s">
        <v>177</v>
      </c>
      <c r="D216" t="s">
        <v>168</v>
      </c>
      <c r="E216">
        <v>8</v>
      </c>
      <c r="F216" t="s">
        <v>169</v>
      </c>
      <c r="H216" s="85" t="s">
        <v>171</v>
      </c>
      <c r="I216" s="110">
        <f ca="1">(B35-B215)/(E216+B57)</f>
        <v>1.0833333333333333</v>
      </c>
      <c r="J216" s="85" t="s">
        <v>21</v>
      </c>
      <c r="K216" s="79" t="s">
        <v>365</v>
      </c>
    </row>
    <row r="217" spans="1:11" hidden="1" x14ac:dyDescent="0.2">
      <c r="A217" s="85" t="s">
        <v>192</v>
      </c>
      <c r="B217" s="110">
        <f ca="1">(E217+B57)*B55*1.8*0.000000000001</f>
        <v>6.0911999999999998E-9</v>
      </c>
      <c r="C217" s="85" t="s">
        <v>177</v>
      </c>
      <c r="D217" t="s">
        <v>170</v>
      </c>
      <c r="E217">
        <v>4</v>
      </c>
      <c r="F217" t="s">
        <v>169</v>
      </c>
      <c r="H217" s="85" t="s">
        <v>173</v>
      </c>
      <c r="I217" s="110">
        <f ca="1">(B215)/(E217+B57)</f>
        <v>0.83333333333333337</v>
      </c>
      <c r="J217" s="85" t="s">
        <v>21</v>
      </c>
    </row>
    <row r="218" spans="1:11" hidden="1" x14ac:dyDescent="0.2">
      <c r="A218" s="85" t="s">
        <v>357</v>
      </c>
      <c r="B218" s="110">
        <f ca="1">LN(B35/(B35-B58))</f>
        <v>0.28768207245178085</v>
      </c>
      <c r="C218" s="85"/>
      <c r="H218" s="85" t="s">
        <v>174</v>
      </c>
      <c r="I218" s="110">
        <f ca="1">(B51+B52/2)*0.000000001</f>
        <v>1.4000000000000001E-8</v>
      </c>
      <c r="J218" s="85" t="s">
        <v>74</v>
      </c>
    </row>
    <row r="219" spans="1:11" hidden="1" x14ac:dyDescent="0.2">
      <c r="A219" s="85" t="s">
        <v>184</v>
      </c>
      <c r="B219" s="110">
        <f ca="1">LN(B35/(B35-B215))-LN(B35/(B35-B58))</f>
        <v>3.7740327982847266E-2</v>
      </c>
      <c r="C219" s="85"/>
      <c r="H219" s="85" t="s">
        <v>355</v>
      </c>
      <c r="I219" s="110">
        <f ca="1">((B52)*0.000000001)/I216</f>
        <v>4.6153846153846161E-9</v>
      </c>
      <c r="J219" s="85" t="s">
        <v>177</v>
      </c>
    </row>
    <row r="220" spans="1:11" hidden="1" x14ac:dyDescent="0.2">
      <c r="A220" s="85" t="s">
        <v>185</v>
      </c>
      <c r="B220" s="110">
        <f ca="1">LN(B35/(B35-0.9*B59))-LN(B35/(B35-B215))</f>
        <v>0.41901807451286766</v>
      </c>
      <c r="C220" s="85"/>
      <c r="H220" s="85" t="s">
        <v>175</v>
      </c>
      <c r="I220" s="110">
        <f ca="1">I218/I216</f>
        <v>1.2923076923076925E-8</v>
      </c>
      <c r="J220" s="85" t="s">
        <v>177</v>
      </c>
    </row>
    <row r="221" spans="1:11" hidden="1" x14ac:dyDescent="0.2">
      <c r="A221" s="85" t="s">
        <v>186</v>
      </c>
      <c r="B221" s="110">
        <f ca="1">LN(B215/B58)</f>
        <v>0.10536051565782635</v>
      </c>
      <c r="C221" s="85"/>
      <c r="H221" s="85" t="s">
        <v>356</v>
      </c>
      <c r="I221" s="128">
        <f ca="1">((B53-B52-B51)*0.000000001)*(E217+B57)/(B35/2)</f>
        <v>5.0000000000000009E-9</v>
      </c>
      <c r="J221" s="85" t="s">
        <v>177</v>
      </c>
    </row>
    <row r="222" spans="1:11" hidden="1" x14ac:dyDescent="0.2">
      <c r="A222" s="85" t="s">
        <v>187</v>
      </c>
      <c r="B222" s="110">
        <f ca="1">LN(0.9*B59/B215)</f>
        <v>0.636576829071551</v>
      </c>
      <c r="C222" s="85"/>
      <c r="H222" s="85" t="s">
        <v>176</v>
      </c>
      <c r="I222" s="110">
        <f ca="1">I218/I217</f>
        <v>1.6800000000000002E-8</v>
      </c>
      <c r="J222" s="85" t="s">
        <v>177</v>
      </c>
    </row>
    <row r="223" spans="1:11" hidden="1" x14ac:dyDescent="0.2">
      <c r="A223" s="85" t="s">
        <v>358</v>
      </c>
      <c r="B223" s="110">
        <f ca="1">LN(B35/(0.9*B59))</f>
        <v>0.64435701639051335</v>
      </c>
      <c r="C223" s="85"/>
    </row>
    <row r="224" spans="1:11" hidden="1" x14ac:dyDescent="0.2">
      <c r="A224" s="85" t="s">
        <v>359</v>
      </c>
      <c r="B224" s="110">
        <f ca="1">B218*B216</f>
        <v>3.5046580794365749E-9</v>
      </c>
      <c r="C224" s="85" t="s">
        <v>177</v>
      </c>
      <c r="D224" t="s">
        <v>362</v>
      </c>
    </row>
    <row r="225" spans="1:4" hidden="1" x14ac:dyDescent="0.2">
      <c r="A225" s="85" t="s">
        <v>180</v>
      </c>
      <c r="B225" s="110">
        <f ca="1">B219*B216</f>
        <v>4.597677716182385E-10</v>
      </c>
      <c r="C225" s="85" t="s">
        <v>177</v>
      </c>
    </row>
    <row r="226" spans="1:4" hidden="1" x14ac:dyDescent="0.2">
      <c r="A226" s="85" t="s">
        <v>181</v>
      </c>
      <c r="B226" s="110">
        <f ca="1">B220*B216</f>
        <v>5.1046457909455591E-9</v>
      </c>
      <c r="C226" s="85" t="s">
        <v>177</v>
      </c>
    </row>
    <row r="227" spans="1:4" hidden="1" x14ac:dyDescent="0.2">
      <c r="A227" s="85" t="s">
        <v>182</v>
      </c>
      <c r="B227" s="110">
        <f ca="1">B221*B217</f>
        <v>6.417719729749518E-10</v>
      </c>
      <c r="C227" s="85" t="s">
        <v>177</v>
      </c>
    </row>
    <row r="228" spans="1:4" hidden="1" x14ac:dyDescent="0.2">
      <c r="A228" s="85" t="s">
        <v>183</v>
      </c>
      <c r="B228" s="110">
        <f ca="1">B222*B217</f>
        <v>3.8775167812406313E-9</v>
      </c>
      <c r="C228" s="85" t="s">
        <v>177</v>
      </c>
    </row>
    <row r="229" spans="1:4" hidden="1" x14ac:dyDescent="0.2">
      <c r="A229" s="85" t="s">
        <v>360</v>
      </c>
      <c r="B229" s="110">
        <f ca="1">B223*B217</f>
        <v>3.9249074582378949E-9</v>
      </c>
      <c r="C229" s="85" t="s">
        <v>177</v>
      </c>
      <c r="D229" t="s">
        <v>361</v>
      </c>
    </row>
    <row r="230" spans="1:4" hidden="1" x14ac:dyDescent="0.2">
      <c r="A230" s="85" t="s">
        <v>190</v>
      </c>
      <c r="B230" s="110">
        <f ca="1">(B225*B61+B226*(+B37*1.1*B50*0.001/2))*(B37+B115)*B41*1000</f>
        <v>1.1960840870647233E-3</v>
      </c>
      <c r="C230" s="85"/>
    </row>
    <row r="231" spans="1:4" hidden="1" x14ac:dyDescent="0.2">
      <c r="A231" s="85" t="s">
        <v>191</v>
      </c>
      <c r="B231" s="110">
        <f ca="1">(B227*B61+B228*(+B37*1.1*B50*0.001/2))*ABS(B37-B115)*B41*1000</f>
        <v>6.1808815319899682E-4</v>
      </c>
      <c r="C231" s="85"/>
    </row>
    <row r="232" spans="1:4" x14ac:dyDescent="0.2">
      <c r="A232" s="85" t="s">
        <v>165</v>
      </c>
      <c r="B232" s="106">
        <f ca="1">B231+B230</f>
        <v>1.8141722402637201E-3</v>
      </c>
      <c r="C232" s="85" t="s">
        <v>32</v>
      </c>
      <c r="D232" t="s">
        <v>242</v>
      </c>
    </row>
    <row r="233" spans="1:4" x14ac:dyDescent="0.2">
      <c r="A233" s="85" t="s">
        <v>193</v>
      </c>
      <c r="B233" s="106">
        <f ca="1">B54*0.000000001*B34*B41*1000</f>
        <v>0.92160000000000009</v>
      </c>
      <c r="C233" s="85" t="s">
        <v>32</v>
      </c>
      <c r="D233" t="s">
        <v>336</v>
      </c>
    </row>
    <row r="234" spans="1:4" x14ac:dyDescent="0.2">
      <c r="A234" s="85" t="s">
        <v>204</v>
      </c>
      <c r="B234" s="106">
        <f ca="1">0.00000012*B41*1000*B61*B37</f>
        <v>0.11399999999999999</v>
      </c>
      <c r="C234" s="85" t="s">
        <v>32</v>
      </c>
      <c r="D234" t="s">
        <v>205</v>
      </c>
    </row>
    <row r="235" spans="1:4" x14ac:dyDescent="0.2">
      <c r="A235" s="85" t="s">
        <v>353</v>
      </c>
      <c r="B235" s="106">
        <f ca="1">0.5*(B56+B73)*0.000000000001*B34*B34*B41*1000</f>
        <v>7.4188799999999985E-2</v>
      </c>
      <c r="C235" s="85" t="s">
        <v>32</v>
      </c>
      <c r="D235" t="s">
        <v>354</v>
      </c>
    </row>
    <row r="236" spans="1:4" x14ac:dyDescent="0.2">
      <c r="A236" s="85" t="s">
        <v>194</v>
      </c>
      <c r="B236" s="106">
        <f ca="1">(B194+B201)/B35*(B34-B35)</f>
        <v>0.31392000000000003</v>
      </c>
      <c r="C236" s="85" t="s">
        <v>32</v>
      </c>
      <c r="D236" t="s">
        <v>247</v>
      </c>
    </row>
    <row r="237" spans="1:4" x14ac:dyDescent="0.2">
      <c r="A237" s="85" t="s">
        <v>35</v>
      </c>
      <c r="B237" s="106">
        <f ca="1">B193+B233+B232+B214+B203+B202+B201+B194+B192+B235+B236+B234+B195+B196</f>
        <v>4.3680315035376349</v>
      </c>
      <c r="C237" s="85" t="s">
        <v>32</v>
      </c>
      <c r="D237" t="s">
        <v>38</v>
      </c>
    </row>
    <row r="238" spans="1:4" x14ac:dyDescent="0.2">
      <c r="A238" s="85" t="s">
        <v>34</v>
      </c>
      <c r="B238" s="106">
        <f>B36*B37</f>
        <v>25</v>
      </c>
      <c r="C238" s="85" t="s">
        <v>32</v>
      </c>
      <c r="D238" t="s">
        <v>39</v>
      </c>
    </row>
    <row r="239" spans="1:4" x14ac:dyDescent="0.2">
      <c r="A239" s="85" t="s">
        <v>36</v>
      </c>
      <c r="B239" s="106">
        <f ca="1">B237+B238</f>
        <v>29.368031503537637</v>
      </c>
      <c r="C239" s="85" t="s">
        <v>32</v>
      </c>
      <c r="D239" t="s">
        <v>40</v>
      </c>
    </row>
    <row r="240" spans="1:4" x14ac:dyDescent="0.2">
      <c r="A240" s="85" t="s">
        <v>37</v>
      </c>
      <c r="B240" s="91">
        <f ca="1">B238/B239*100</f>
        <v>85.126577166019899</v>
      </c>
      <c r="C240" s="85" t="s">
        <v>29</v>
      </c>
      <c r="D240" t="s">
        <v>42</v>
      </c>
    </row>
    <row r="241" spans="2:2" x14ac:dyDescent="0.2">
      <c r="B241" s="139"/>
    </row>
    <row r="242" spans="2:2" x14ac:dyDescent="0.2">
      <c r="B242" s="139"/>
    </row>
  </sheetData>
  <sheetProtection algorithmName="SHA-512" hashValue="W2sVvKzg0Jal6MJmyYtLKiwP9TN3PjNtifefGXPOPE3InYlFJNphFdhxAKS8P35OU7kWiKuj1nUY2re48wVrpA==" saltValue="HqljNJDMwtLjgxzYx7/L4g==" spinCount="100000" sheet="1" objects="1" scenarios="1" selectLockedCells="1"/>
  <dataConsolidate/>
  <mergeCells count="21">
    <mergeCell ref="A188:D188"/>
    <mergeCell ref="D44:G44"/>
    <mergeCell ref="D94:H94"/>
    <mergeCell ref="D36:G36"/>
    <mergeCell ref="D114:G114"/>
    <mergeCell ref="D41:F41"/>
    <mergeCell ref="D71:F71"/>
    <mergeCell ref="D163:H163"/>
    <mergeCell ref="D90:H90"/>
    <mergeCell ref="K4:M4"/>
    <mergeCell ref="D34:G34"/>
    <mergeCell ref="K26:L26"/>
    <mergeCell ref="M26:P26"/>
    <mergeCell ref="D32:G32"/>
    <mergeCell ref="D33:G33"/>
    <mergeCell ref="D108:H108"/>
    <mergeCell ref="D97:H97"/>
    <mergeCell ref="D35:G35"/>
    <mergeCell ref="D104:I104"/>
    <mergeCell ref="D179:F179"/>
    <mergeCell ref="D101:I101"/>
  </mergeCells>
  <phoneticPr fontId="10" type="noConversion"/>
  <conditionalFormatting sqref="B41 B43 B50:B65 B69:B80">
    <cfRule type="expression" dxfId="35" priority="14" stopIfTrue="1">
      <formula>OR(AND(B41&gt;150, EXACT($L$108, "NO")),#REF!&gt;250)</formula>
    </cfRule>
  </conditionalFormatting>
  <conditionalFormatting sqref="B90 B104">
    <cfRule type="expression" dxfId="34" priority="22" stopIfTrue="1">
      <formula>(B90&lt;200)</formula>
    </cfRule>
  </conditionalFormatting>
  <conditionalFormatting sqref="B94 B101 B108">
    <cfRule type="cellIs" dxfId="33" priority="13" stopIfTrue="1" operator="greaterThan">
      <formula>80</formula>
    </cfRule>
  </conditionalFormatting>
  <conditionalFormatting sqref="D35">
    <cfRule type="expression" priority="7" stopIfTrue="1">
      <formula>OR(XFC35&lt;10,XFC35&gt;18)</formula>
    </cfRule>
  </conditionalFormatting>
  <conditionalFormatting sqref="D37:F37">
    <cfRule type="expression" priority="16" stopIfTrue="1">
      <formula>$B$37&lt;=0</formula>
    </cfRule>
  </conditionalFormatting>
  <conditionalFormatting sqref="D41:F41">
    <cfRule type="expression" dxfId="32" priority="8" stopIfTrue="1">
      <formula>OR(B41&gt;500,B41&lt;25)</formula>
    </cfRule>
  </conditionalFormatting>
  <conditionalFormatting sqref="D179:F179">
    <cfRule type="expression" dxfId="31" priority="12" stopIfTrue="1">
      <formula>B179&gt;B34</formula>
    </cfRule>
  </conditionalFormatting>
  <conditionalFormatting sqref="D32:G32">
    <cfRule type="expression" dxfId="30" priority="2" stopIfTrue="1">
      <formula>OR(B32&lt;12,B32&gt;100)</formula>
    </cfRule>
  </conditionalFormatting>
  <conditionalFormatting sqref="D33:G33">
    <cfRule type="expression" dxfId="29" priority="9" stopIfTrue="1">
      <formula>OR(OR(B33&lt;10,B33&gt;100),B33&gt;B32)</formula>
    </cfRule>
  </conditionalFormatting>
  <conditionalFormatting sqref="D34:G34">
    <cfRule type="expression" dxfId="28" priority="10" stopIfTrue="1">
      <formula>OR(OR(B34&lt;12,B34&gt;100),B34&lt;B33)</formula>
    </cfRule>
  </conditionalFormatting>
  <conditionalFormatting sqref="D36:G36">
    <cfRule type="expression" dxfId="27" priority="11" stopIfTrue="1">
      <formula>NOT((AND((B34*0.8&gt;B36),(B36&gt;=1.25))))</formula>
    </cfRule>
  </conditionalFormatting>
  <conditionalFormatting sqref="D44:G44">
    <cfRule type="expression" dxfId="26" priority="5" stopIfTrue="1">
      <formula>NOT(AND(B43&gt;5,B43&lt;250))</formula>
    </cfRule>
  </conditionalFormatting>
  <conditionalFormatting sqref="D114:G114">
    <cfRule type="expression" dxfId="25" priority="1" stopIfTrue="1">
      <formula>OR(B114&gt;35,B114&lt;10)</formula>
    </cfRule>
  </conditionalFormatting>
  <conditionalFormatting sqref="D47:H47">
    <cfRule type="expression" dxfId="24" priority="17" stopIfTrue="1">
      <formula>$D$47&lt;&gt;"&lt;-- Choose Mosfet Type From Mosfets sheet"</formula>
    </cfRule>
  </conditionalFormatting>
  <conditionalFormatting sqref="D66:H66">
    <cfRule type="expression" dxfId="23" priority="18" stopIfTrue="1">
      <formula>$D$66&lt;&gt;"&lt;-- Choose Mosfet Type From Mosfets sheet"</formula>
    </cfRule>
  </conditionalFormatting>
  <conditionalFormatting sqref="D90:H90 D97:H97">
    <cfRule type="expression" dxfId="22" priority="6" stopIfTrue="1">
      <formula>B90&lt;200</formula>
    </cfRule>
  </conditionalFormatting>
  <conditionalFormatting sqref="D94:H95 D102:H102 D108:H110">
    <cfRule type="expression" dxfId="21" priority="3" stopIfTrue="1">
      <formula>B94&gt;80</formula>
    </cfRule>
  </conditionalFormatting>
  <conditionalFormatting sqref="D163:H163">
    <cfRule type="expression" dxfId="20" priority="4" stopIfTrue="1">
      <formula>B163/10&lt;B164</formula>
    </cfRule>
  </conditionalFormatting>
  <conditionalFormatting sqref="D81:I81">
    <cfRule type="expression" dxfId="19" priority="23" stopIfTrue="1">
      <formula>$D$81&lt;&gt;""</formula>
    </cfRule>
  </conditionalFormatting>
  <conditionalFormatting sqref="D82:I82">
    <cfRule type="expression" dxfId="18" priority="24" stopIfTrue="1">
      <formula>$D$82&lt;&gt;""</formula>
    </cfRule>
  </conditionalFormatting>
  <conditionalFormatting sqref="D101:I101">
    <cfRule type="expression" dxfId="17" priority="20" stopIfTrue="1">
      <formula>B101&gt;80</formula>
    </cfRule>
  </conditionalFormatting>
  <conditionalFormatting sqref="D104:I104">
    <cfRule type="expression" dxfId="16" priority="21" stopIfTrue="1">
      <formula>B104&lt;200</formula>
    </cfRule>
  </conditionalFormatting>
  <conditionalFormatting sqref="E73">
    <cfRule type="expression" dxfId="15" priority="19" stopIfTrue="1">
      <formula>$E$73&lt;&gt;""</formula>
    </cfRule>
  </conditionalFormatting>
  <conditionalFormatting sqref="H41:J41">
    <cfRule type="expression" dxfId="14" priority="15" stopIfTrue="1">
      <formula>OR(AND(#REF!&gt;150, EXACT($L$108, "NO")),#REF!&gt; 250)</formula>
    </cfRule>
  </conditionalFormatting>
  <dataValidations xWindow="271" yWindow="199" count="12">
    <dataValidation allowBlank="1" showInputMessage="1" showErrorMessage="1" promptTitle="Inductor current ripple" prompt="It is recommended to choose inductor current ripple between 10 and 35 %" sqref="B114" xr:uid="{345BFF0D-3885-4DC1-AF98-9856FFCCBA2F}"/>
    <dataValidation allowBlank="1" errorTitle="Output voltage" error="Output voltage is not in valid range" sqref="B36" xr:uid="{2457FDA5-4699-4AA1-8DAC-E6E437FFBF08}"/>
    <dataValidation allowBlank="1" showInputMessage="1" showErrorMessage="1" promptTitle="Inductor Winding Resistance" prompt="Used to estimate the losses and efficiency of the converter. Leave Blank if not required." sqref="B120" xr:uid="{B1B5D498-D7A2-469D-B36C-1DAE1458DBCD}"/>
    <dataValidation allowBlank="1" showInputMessage="1" showErrorMessage="1" promptTitle="Output Capacitor ESR" prompt="in mOhms" sqref="B135" xr:uid="{81016CC3-CF5D-4895-977C-B290CC125EAD}"/>
    <dataValidation allowBlank="1" showErrorMessage="1" promptTitle="Inductor Winding Resistance" prompt="Used to estimate the losses and efficiency of the converter. Leave Blank if not required." sqref="B121:B122" xr:uid="{FB45253D-6900-4EEE-9234-93F2FA0193D4}"/>
    <dataValidation allowBlank="1" showErrorMessage="1" prompt="50kHz to 150kHz with Internal Switch_x000a_50kHz to 250kHz with External Switch_x000a_Use of higher switching frequency allows you to choose smaller filter components._x000a_" sqref="B69:B80 B41 B50:B65" xr:uid="{AFCBCA37-3D9C-46C2-87FB-FEAABA4A7A8E}"/>
    <dataValidation type="decimal" allowBlank="1" showErrorMessage="1" errorTitle="Output current" error="Output current is not in valid range_x000a_" prompt="_x000a_" sqref="B37" xr:uid="{6C3E8727-4D26-4103-82A2-4DDEB38F1668}">
      <formula1>0.0000001</formula1>
      <formula2>10000000000000</formula2>
    </dataValidation>
    <dataValidation type="decimal" allowBlank="1" showErrorMessage="1" errorTitle="Input voltage " error="Input voltage is not in valid range" prompt="_x000a_" sqref="B34" xr:uid="{512C5DAB-B395-456B-92F3-A693091078CF}">
      <formula1>12</formula1>
      <formula2>100</formula2>
    </dataValidation>
    <dataValidation allowBlank="1" showErrorMessage="1" promptTitle="Timing resistor value" prompt="Choose resistor from chart" sqref="B43" xr:uid="{CD1EE817-9ED0-447C-9139-84ED208C023F}"/>
    <dataValidation type="decimal" allowBlank="1" showErrorMessage="1" errorTitle="Supply voltage " error="Supply voltage is not in valid range" prompt="_x000a_" sqref="B35" xr:uid="{07DB1570-2D39-4E1C-A663-AE984F643BE4}">
      <formula1>10</formula1>
      <formula2>18</formula2>
    </dataValidation>
    <dataValidation type="list" allowBlank="1" showInputMessage="1" showErrorMessage="1" sqref="B47 B66" xr:uid="{7AF2CDDE-6E4F-48E3-807E-E2B5F222E6E6}">
      <formula1>FET</formula1>
    </dataValidation>
    <dataValidation type="decimal" allowBlank="1" showErrorMessage="1" errorTitle="Input voltage " error="Input voltage is not in valid range" prompt="_x000a_" sqref="B33" xr:uid="{EDC6BAC2-8797-4E38-AB29-B1FDAFCB0DD7}">
      <formula1>10</formula1>
      <formula2>100</formula2>
    </dataValidation>
  </dataValidations>
  <pageMargins left="0.56999999999999995" right="0.75" top="0.6" bottom="0.62" header="0.5" footer="0.5"/>
  <pageSetup scale="64" fitToHeight="2" orientation="landscape" r:id="rId1"/>
  <headerFooter alignWithMargins="0"/>
  <rowBreaks count="1" manualBreakCount="1">
    <brk id="122" max="12" man="1"/>
  </rowBreaks>
  <cellWatches>
    <cellWatch r="B34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85AE-A5F5-4675-A173-1B984800D337}">
  <sheetPr codeName="Sheet5">
    <pageSetUpPr fitToPage="1"/>
  </sheetPr>
  <dimension ref="A1:AH24"/>
  <sheetViews>
    <sheetView showGridLines="0" topLeftCell="B1" zoomScaleNormal="100" workbookViewId="0">
      <pane xSplit="1" topLeftCell="C1" activePane="topRight" state="frozen"/>
      <selection activeCell="B1" sqref="B1"/>
      <selection pane="topRight" activeCell="C1" sqref="C1"/>
    </sheetView>
  </sheetViews>
  <sheetFormatPr defaultRowHeight="12.75" x14ac:dyDescent="0.2"/>
  <cols>
    <col min="1" max="1" width="9.42578125" hidden="1" customWidth="1"/>
    <col min="2" max="2" width="16.28515625" customWidth="1"/>
    <col min="3" max="11" width="12.42578125" customWidth="1"/>
    <col min="12" max="12" width="12.5703125" customWidth="1"/>
    <col min="13" max="27" width="12.42578125" customWidth="1"/>
  </cols>
  <sheetData>
    <row r="1" spans="1:34" x14ac:dyDescent="0.2">
      <c r="A1" s="10"/>
      <c r="B1" s="62" t="s">
        <v>240</v>
      </c>
      <c r="C1" s="115" t="s">
        <v>218</v>
      </c>
      <c r="D1" s="65" t="s">
        <v>206</v>
      </c>
      <c r="E1" s="65" t="s">
        <v>207</v>
      </c>
      <c r="F1" s="65" t="s">
        <v>208</v>
      </c>
      <c r="G1" s="65" t="s">
        <v>266</v>
      </c>
      <c r="H1" s="65" t="s">
        <v>209</v>
      </c>
      <c r="I1" s="65" t="s">
        <v>210</v>
      </c>
      <c r="J1" s="65" t="s">
        <v>221</v>
      </c>
      <c r="K1" s="65" t="s">
        <v>222</v>
      </c>
      <c r="L1" s="65" t="s">
        <v>304</v>
      </c>
      <c r="M1" s="65" t="s">
        <v>213</v>
      </c>
      <c r="N1" s="124" t="s">
        <v>349</v>
      </c>
      <c r="O1" s="66" t="s">
        <v>256</v>
      </c>
      <c r="P1" s="66" t="s">
        <v>211</v>
      </c>
      <c r="Q1" s="66" t="s">
        <v>212</v>
      </c>
      <c r="R1" s="66" t="s">
        <v>377</v>
      </c>
      <c r="S1" s="66" t="s">
        <v>306</v>
      </c>
      <c r="T1" s="66" t="s">
        <v>280</v>
      </c>
      <c r="U1" s="66" t="s">
        <v>282</v>
      </c>
      <c r="V1" s="66" t="s">
        <v>378</v>
      </c>
      <c r="W1" s="66" t="s">
        <v>379</v>
      </c>
      <c r="X1" s="66" t="s">
        <v>251</v>
      </c>
      <c r="Y1" s="66" t="s">
        <v>252</v>
      </c>
      <c r="Z1" s="66" t="s">
        <v>253</v>
      </c>
      <c r="AA1" s="67" t="s">
        <v>254</v>
      </c>
      <c r="AH1" s="10"/>
    </row>
    <row r="2" spans="1:34" x14ac:dyDescent="0.2">
      <c r="A2" s="10"/>
      <c r="B2" s="63" t="s">
        <v>214</v>
      </c>
      <c r="C2" s="116" t="s">
        <v>219</v>
      </c>
      <c r="D2" s="61" t="s">
        <v>219</v>
      </c>
      <c r="E2" s="61" t="s">
        <v>219</v>
      </c>
      <c r="F2" s="61" t="s">
        <v>219</v>
      </c>
      <c r="G2" s="61" t="s">
        <v>219</v>
      </c>
      <c r="H2" s="61" t="s">
        <v>219</v>
      </c>
      <c r="I2" s="61" t="s">
        <v>219</v>
      </c>
      <c r="J2" s="61" t="s">
        <v>219</v>
      </c>
      <c r="K2" s="61" t="s">
        <v>219</v>
      </c>
      <c r="L2" s="61" t="s">
        <v>219</v>
      </c>
      <c r="M2" s="61" t="s">
        <v>219</v>
      </c>
      <c r="N2" s="61" t="s">
        <v>219</v>
      </c>
      <c r="O2" s="70" t="s">
        <v>215</v>
      </c>
      <c r="P2" s="70" t="s">
        <v>215</v>
      </c>
      <c r="Q2" s="70" t="s">
        <v>215</v>
      </c>
      <c r="R2" s="70" t="s">
        <v>215</v>
      </c>
      <c r="S2" s="70" t="s">
        <v>215</v>
      </c>
      <c r="T2" s="70" t="s">
        <v>281</v>
      </c>
      <c r="U2" s="70" t="s">
        <v>281</v>
      </c>
      <c r="V2" s="70"/>
      <c r="W2" s="70"/>
      <c r="X2" s="70"/>
      <c r="Y2" s="70"/>
      <c r="Z2" s="70"/>
      <c r="AA2" s="119"/>
      <c r="AH2" s="10"/>
    </row>
    <row r="3" spans="1:34" x14ac:dyDescent="0.2">
      <c r="A3" s="10"/>
      <c r="B3" s="63" t="s">
        <v>216</v>
      </c>
      <c r="C3" s="116" t="s">
        <v>217</v>
      </c>
      <c r="D3" s="61" t="s">
        <v>217</v>
      </c>
      <c r="E3" s="61" t="s">
        <v>220</v>
      </c>
      <c r="F3" s="61" t="s">
        <v>217</v>
      </c>
      <c r="G3" s="61" t="s">
        <v>217</v>
      </c>
      <c r="H3" s="61" t="s">
        <v>217</v>
      </c>
      <c r="I3" s="61" t="s">
        <v>217</v>
      </c>
      <c r="J3" s="61" t="s">
        <v>217</v>
      </c>
      <c r="K3" s="61" t="s">
        <v>223</v>
      </c>
      <c r="L3" s="61" t="s">
        <v>238</v>
      </c>
      <c r="M3" s="61" t="s">
        <v>238</v>
      </c>
      <c r="N3" s="61" t="s">
        <v>308</v>
      </c>
      <c r="O3" s="70" t="s">
        <v>224</v>
      </c>
      <c r="P3" s="70" t="s">
        <v>224</v>
      </c>
      <c r="Q3" s="70" t="s">
        <v>239</v>
      </c>
      <c r="R3" s="70" t="s">
        <v>305</v>
      </c>
      <c r="S3" s="70" t="s">
        <v>307</v>
      </c>
      <c r="T3" s="70" t="s">
        <v>217</v>
      </c>
      <c r="U3" s="70" t="s">
        <v>217</v>
      </c>
      <c r="V3" s="70"/>
      <c r="W3" s="70"/>
      <c r="X3" s="70"/>
      <c r="Y3" s="70"/>
      <c r="Z3" s="70"/>
      <c r="AA3" s="119"/>
      <c r="AH3" s="10"/>
    </row>
    <row r="4" spans="1:34" ht="14.25" x14ac:dyDescent="0.25">
      <c r="A4" s="10"/>
      <c r="B4" s="63" t="s">
        <v>225</v>
      </c>
      <c r="C4" s="116">
        <v>100</v>
      </c>
      <c r="D4" s="61">
        <v>100</v>
      </c>
      <c r="E4" s="61">
        <v>60</v>
      </c>
      <c r="F4" s="61">
        <v>60</v>
      </c>
      <c r="G4" s="61">
        <v>60</v>
      </c>
      <c r="H4" s="61">
        <v>60</v>
      </c>
      <c r="I4" s="61">
        <v>60</v>
      </c>
      <c r="J4" s="61">
        <v>60</v>
      </c>
      <c r="K4" s="61">
        <v>60</v>
      </c>
      <c r="L4" s="61">
        <v>40</v>
      </c>
      <c r="M4" s="61">
        <v>40</v>
      </c>
      <c r="N4" s="61">
        <v>150</v>
      </c>
      <c r="O4" s="70">
        <v>80</v>
      </c>
      <c r="P4" s="70">
        <v>60</v>
      </c>
      <c r="Q4" s="70">
        <v>60</v>
      </c>
      <c r="R4" s="70">
        <v>40</v>
      </c>
      <c r="S4" s="70">
        <v>40</v>
      </c>
      <c r="T4" s="70">
        <v>100</v>
      </c>
      <c r="U4" s="70">
        <v>100</v>
      </c>
      <c r="V4" s="70"/>
      <c r="W4" s="70"/>
      <c r="X4" s="70"/>
      <c r="Y4" s="70"/>
      <c r="Z4" s="70"/>
      <c r="AA4" s="119"/>
      <c r="AH4" s="10"/>
    </row>
    <row r="5" spans="1:34" s="51" customFormat="1" ht="14.25" x14ac:dyDescent="0.25">
      <c r="A5" s="10"/>
      <c r="B5" s="112" t="s">
        <v>265</v>
      </c>
      <c r="C5" s="117">
        <v>12</v>
      </c>
      <c r="D5" s="113">
        <v>12</v>
      </c>
      <c r="E5" s="113">
        <v>45</v>
      </c>
      <c r="F5" s="113">
        <v>32</v>
      </c>
      <c r="G5" s="113">
        <v>24</v>
      </c>
      <c r="H5" s="113">
        <v>20</v>
      </c>
      <c r="I5" s="113">
        <v>18</v>
      </c>
      <c r="J5" s="113">
        <v>9</v>
      </c>
      <c r="K5" s="113">
        <v>3</v>
      </c>
      <c r="L5" s="113">
        <v>3.4</v>
      </c>
      <c r="M5" s="113">
        <v>4.5999999999999996</v>
      </c>
      <c r="N5" s="113">
        <v>20</v>
      </c>
      <c r="O5" s="114">
        <v>10</v>
      </c>
      <c r="P5" s="114">
        <v>10</v>
      </c>
      <c r="Q5" s="114">
        <v>12</v>
      </c>
      <c r="R5" s="114">
        <v>11.1</v>
      </c>
      <c r="S5" s="114">
        <v>3.9</v>
      </c>
      <c r="T5" s="114">
        <v>31</v>
      </c>
      <c r="U5" s="114">
        <v>48</v>
      </c>
      <c r="V5" s="114"/>
      <c r="W5" s="114"/>
      <c r="X5" s="114"/>
      <c r="Y5" s="114"/>
      <c r="Z5" s="114"/>
      <c r="AA5" s="119"/>
      <c r="AH5" s="10"/>
    </row>
    <row r="6" spans="1:34" ht="14.25" x14ac:dyDescent="0.25">
      <c r="B6" s="63" t="s">
        <v>226</v>
      </c>
      <c r="C6" s="116">
        <v>118</v>
      </c>
      <c r="D6" s="61">
        <v>130</v>
      </c>
      <c r="E6" s="61">
        <v>21</v>
      </c>
      <c r="F6" s="61">
        <v>21</v>
      </c>
      <c r="G6" s="61">
        <v>32</v>
      </c>
      <c r="H6" s="61">
        <v>37.5</v>
      </c>
      <c r="I6" s="61">
        <v>51</v>
      </c>
      <c r="J6" s="61">
        <v>122</v>
      </c>
      <c r="K6" s="61">
        <v>110</v>
      </c>
      <c r="L6" s="61">
        <v>55</v>
      </c>
      <c r="M6" s="61">
        <v>27</v>
      </c>
      <c r="N6" s="61">
        <v>130</v>
      </c>
      <c r="O6" s="70">
        <v>22</v>
      </c>
      <c r="P6" s="70">
        <v>18</v>
      </c>
      <c r="Q6" s="70">
        <v>8</v>
      </c>
      <c r="R6" s="70">
        <v>13</v>
      </c>
      <c r="S6" s="70">
        <v>45</v>
      </c>
      <c r="T6" s="70">
        <v>34</v>
      </c>
      <c r="U6" s="70">
        <v>25</v>
      </c>
      <c r="V6" s="70"/>
      <c r="W6" s="70"/>
      <c r="X6" s="70"/>
      <c r="Y6" s="70"/>
      <c r="Z6" s="70"/>
      <c r="AA6" s="120"/>
    </row>
    <row r="7" spans="1:34" ht="14.25" x14ac:dyDescent="0.25">
      <c r="B7" s="63" t="s">
        <v>227</v>
      </c>
      <c r="C7" s="116">
        <v>7.4</v>
      </c>
      <c r="D7" s="61">
        <v>7</v>
      </c>
      <c r="E7" s="61">
        <v>15</v>
      </c>
      <c r="F7" s="61">
        <v>15</v>
      </c>
      <c r="G7" s="61">
        <v>11.5</v>
      </c>
      <c r="H7" s="61">
        <v>7.3</v>
      </c>
      <c r="I7" s="61">
        <v>7.3</v>
      </c>
      <c r="J7" s="61">
        <v>3.5</v>
      </c>
      <c r="K7" s="61">
        <v>4.2</v>
      </c>
      <c r="L7" s="61">
        <v>2.1</v>
      </c>
      <c r="M7" s="61">
        <v>5.5</v>
      </c>
      <c r="N7" s="61">
        <v>7.2</v>
      </c>
      <c r="O7" s="70">
        <v>11</v>
      </c>
      <c r="P7" s="70">
        <v>5.3</v>
      </c>
      <c r="Q7" s="70">
        <v>11.5</v>
      </c>
      <c r="R7" s="70">
        <v>9.6</v>
      </c>
      <c r="S7" s="70">
        <v>1.6</v>
      </c>
      <c r="T7" s="70">
        <v>11</v>
      </c>
      <c r="U7" s="70">
        <v>17</v>
      </c>
      <c r="V7" s="70"/>
      <c r="W7" s="70"/>
      <c r="X7" s="70"/>
      <c r="Y7" s="70"/>
      <c r="Z7" s="70"/>
      <c r="AA7" s="120"/>
    </row>
    <row r="8" spans="1:34" ht="14.25" x14ac:dyDescent="0.25">
      <c r="B8" s="63" t="s">
        <v>228</v>
      </c>
      <c r="C8" s="116">
        <v>1.9</v>
      </c>
      <c r="D8" s="61">
        <v>3</v>
      </c>
      <c r="E8" s="61">
        <v>6.4</v>
      </c>
      <c r="F8" s="61">
        <v>6</v>
      </c>
      <c r="G8" s="61">
        <v>5</v>
      </c>
      <c r="H8" s="61">
        <v>5.6</v>
      </c>
      <c r="I8" s="61">
        <v>3.2</v>
      </c>
      <c r="J8" s="61">
        <v>1.7</v>
      </c>
      <c r="K8" s="61">
        <v>1.9</v>
      </c>
      <c r="L8" s="61">
        <v>5.7</v>
      </c>
      <c r="M8" s="61">
        <v>2.5</v>
      </c>
      <c r="N8" s="61">
        <v>22</v>
      </c>
      <c r="O8" s="70">
        <v>7.5</v>
      </c>
      <c r="P8" s="70">
        <v>3.4</v>
      </c>
      <c r="Q8" s="70">
        <v>11.5</v>
      </c>
      <c r="R8" s="70">
        <v>16</v>
      </c>
      <c r="S8" s="70">
        <v>2.1</v>
      </c>
      <c r="T8" s="70">
        <v>10</v>
      </c>
      <c r="U8" s="70">
        <v>21</v>
      </c>
      <c r="V8" s="70"/>
      <c r="W8" s="70"/>
      <c r="X8" s="70"/>
      <c r="Y8" s="70"/>
      <c r="Z8" s="70"/>
      <c r="AA8" s="120"/>
    </row>
    <row r="9" spans="1:34" ht="14.25" x14ac:dyDescent="0.25">
      <c r="B9" s="63" t="s">
        <v>229</v>
      </c>
      <c r="C9" s="116">
        <v>11.3</v>
      </c>
      <c r="D9" s="61">
        <v>14</v>
      </c>
      <c r="E9" s="61">
        <v>33</v>
      </c>
      <c r="F9" s="61">
        <v>33</v>
      </c>
      <c r="G9" s="61">
        <v>24</v>
      </c>
      <c r="H9" s="61">
        <v>21.2</v>
      </c>
      <c r="I9" s="61">
        <v>15.3</v>
      </c>
      <c r="J9" s="61">
        <v>7.1</v>
      </c>
      <c r="K9" s="61">
        <v>10.6</v>
      </c>
      <c r="L9" s="61">
        <v>14</v>
      </c>
      <c r="M9" s="61">
        <v>20</v>
      </c>
      <c r="N9" s="61">
        <v>39</v>
      </c>
      <c r="O9" s="70">
        <v>34</v>
      </c>
      <c r="P9" s="70">
        <v>18</v>
      </c>
      <c r="Q9" s="70">
        <v>46</v>
      </c>
      <c r="R9" s="70">
        <v>46</v>
      </c>
      <c r="S9" s="70">
        <v>10</v>
      </c>
      <c r="T9" s="70">
        <v>37</v>
      </c>
      <c r="U9" s="70">
        <v>59</v>
      </c>
      <c r="V9" s="70"/>
      <c r="W9" s="70"/>
      <c r="X9" s="70"/>
      <c r="Y9" s="70"/>
      <c r="Z9" s="70"/>
      <c r="AA9" s="120"/>
    </row>
    <row r="10" spans="1:34" ht="14.25" x14ac:dyDescent="0.25">
      <c r="B10" s="63" t="s">
        <v>230</v>
      </c>
      <c r="C10" s="116">
        <v>240</v>
      </c>
      <c r="D10" s="61">
        <v>300</v>
      </c>
      <c r="E10" s="61">
        <v>87</v>
      </c>
      <c r="F10" s="61">
        <v>95</v>
      </c>
      <c r="G10" s="61">
        <v>96</v>
      </c>
      <c r="H10" s="61">
        <v>84</v>
      </c>
      <c r="I10" s="61">
        <v>66</v>
      </c>
      <c r="J10" s="61">
        <v>36</v>
      </c>
      <c r="K10" s="61">
        <v>40</v>
      </c>
      <c r="L10" s="61">
        <v>30</v>
      </c>
      <c r="M10" s="61">
        <v>20</v>
      </c>
      <c r="N10" s="61">
        <v>1100</v>
      </c>
      <c r="O10" s="70"/>
      <c r="P10" s="70"/>
      <c r="Q10" s="70"/>
      <c r="R10" s="70"/>
      <c r="S10" s="70"/>
      <c r="T10" s="70">
        <v>260</v>
      </c>
      <c r="U10" s="70">
        <v>160</v>
      </c>
      <c r="V10" s="70"/>
      <c r="W10" s="70"/>
      <c r="X10" s="70"/>
      <c r="Y10" s="70"/>
      <c r="Z10" s="70"/>
      <c r="AA10" s="120"/>
    </row>
    <row r="11" spans="1:34" ht="14.25" x14ac:dyDescent="0.25">
      <c r="B11" s="63" t="s">
        <v>231</v>
      </c>
      <c r="C11" s="116">
        <v>463</v>
      </c>
      <c r="D11" s="61">
        <v>390</v>
      </c>
      <c r="E11" s="61">
        <v>1224</v>
      </c>
      <c r="F11" s="61">
        <v>1231</v>
      </c>
      <c r="G11" s="61">
        <v>846</v>
      </c>
      <c r="H11" s="61">
        <v>725</v>
      </c>
      <c r="I11" s="61">
        <v>509</v>
      </c>
      <c r="J11" s="61">
        <v>200</v>
      </c>
      <c r="K11" s="61">
        <v>324</v>
      </c>
      <c r="L11" s="61">
        <v>450</v>
      </c>
      <c r="M11" s="61">
        <v>720</v>
      </c>
      <c r="N11" s="61">
        <v>1133</v>
      </c>
      <c r="O11" s="70">
        <v>1825</v>
      </c>
      <c r="P11" s="70">
        <v>900</v>
      </c>
      <c r="Q11" s="70">
        <v>2800</v>
      </c>
      <c r="R11" s="70">
        <v>3000</v>
      </c>
      <c r="S11" s="70">
        <v>540</v>
      </c>
      <c r="T11" s="70">
        <v>1690</v>
      </c>
      <c r="U11" s="70">
        <v>3430</v>
      </c>
      <c r="V11" s="70"/>
      <c r="W11" s="70"/>
      <c r="X11" s="70"/>
      <c r="Y11" s="70"/>
      <c r="Z11" s="70"/>
      <c r="AA11" s="120"/>
    </row>
    <row r="12" spans="1:34" ht="14.25" x14ac:dyDescent="0.25">
      <c r="B12" s="63" t="s">
        <v>350</v>
      </c>
      <c r="C12" s="116">
        <v>116</v>
      </c>
      <c r="D12" s="61">
        <v>115</v>
      </c>
      <c r="E12" s="61">
        <v>345</v>
      </c>
      <c r="F12" s="61">
        <v>346</v>
      </c>
      <c r="G12" s="61">
        <v>252</v>
      </c>
      <c r="H12" s="61">
        <v>213</v>
      </c>
      <c r="I12" s="61">
        <v>162</v>
      </c>
      <c r="J12" s="61">
        <v>70</v>
      </c>
      <c r="K12" s="61">
        <v>35</v>
      </c>
      <c r="L12" s="61">
        <v>130</v>
      </c>
      <c r="M12" s="61">
        <v>156</v>
      </c>
      <c r="N12" s="61">
        <v>213</v>
      </c>
      <c r="O12" s="70">
        <v>180</v>
      </c>
      <c r="P12" s="70">
        <v>170</v>
      </c>
      <c r="Q12" s="70">
        <v>300</v>
      </c>
      <c r="R12" s="70">
        <v>300</v>
      </c>
      <c r="S12" s="70">
        <v>80</v>
      </c>
      <c r="T12" s="70">
        <v>250</v>
      </c>
      <c r="U12" s="70">
        <v>270</v>
      </c>
      <c r="V12" s="70"/>
      <c r="W12" s="70"/>
      <c r="X12" s="70"/>
      <c r="Y12" s="70"/>
      <c r="Z12" s="70"/>
      <c r="AA12" s="120"/>
    </row>
    <row r="13" spans="1:34" ht="14.25" x14ac:dyDescent="0.25">
      <c r="B13" s="63" t="s">
        <v>271</v>
      </c>
      <c r="C13" s="11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70">
        <v>0.7</v>
      </c>
      <c r="P13" s="70">
        <v>1.4</v>
      </c>
      <c r="Q13" s="70">
        <v>0.85</v>
      </c>
      <c r="R13" s="70">
        <v>2.2999999999999998</v>
      </c>
      <c r="S13" s="70">
        <v>1.8</v>
      </c>
      <c r="T13" s="70">
        <v>1</v>
      </c>
      <c r="U13" s="70"/>
      <c r="V13" s="70"/>
      <c r="W13" s="70"/>
      <c r="X13" s="70"/>
      <c r="Y13" s="70"/>
      <c r="Z13" s="70"/>
      <c r="AA13" s="120"/>
    </row>
    <row r="14" spans="1:34" ht="14.25" x14ac:dyDescent="0.25">
      <c r="B14" s="63" t="s">
        <v>257</v>
      </c>
      <c r="C14" s="116">
        <v>1.5</v>
      </c>
      <c r="D14" s="61">
        <v>3.1</v>
      </c>
      <c r="E14" s="61">
        <v>2.8</v>
      </c>
      <c r="F14" s="61">
        <v>2.8</v>
      </c>
      <c r="G14" s="61">
        <v>3</v>
      </c>
      <c r="H14" s="61">
        <v>2.91</v>
      </c>
      <c r="I14" s="61">
        <v>3</v>
      </c>
      <c r="J14" s="61">
        <v>3</v>
      </c>
      <c r="K14" s="61">
        <v>4</v>
      </c>
      <c r="L14" s="61">
        <v>2</v>
      </c>
      <c r="M14" s="61">
        <v>1.9</v>
      </c>
      <c r="N14" s="61">
        <v>3</v>
      </c>
      <c r="O14" s="70">
        <v>2</v>
      </c>
      <c r="P14" s="70">
        <v>2</v>
      </c>
      <c r="Q14" s="70">
        <v>4</v>
      </c>
      <c r="R14" s="70">
        <v>4</v>
      </c>
      <c r="S14" s="70">
        <v>2</v>
      </c>
      <c r="T14" s="70">
        <v>3</v>
      </c>
      <c r="U14" s="70">
        <v>4</v>
      </c>
      <c r="V14" s="70"/>
      <c r="W14" s="70"/>
      <c r="X14" s="70"/>
      <c r="Y14" s="70"/>
      <c r="Z14" s="70"/>
      <c r="AA14" s="120"/>
    </row>
    <row r="15" spans="1:34" ht="14.25" x14ac:dyDescent="0.25">
      <c r="B15" s="63" t="s">
        <v>232</v>
      </c>
      <c r="C15" s="116">
        <v>4.2</v>
      </c>
      <c r="D15" s="61">
        <v>7</v>
      </c>
      <c r="E15" s="61">
        <v>6.5</v>
      </c>
      <c r="F15" s="61">
        <v>6.5</v>
      </c>
      <c r="G15" s="61">
        <v>7</v>
      </c>
      <c r="H15" s="61">
        <v>6.5</v>
      </c>
      <c r="I15" s="61">
        <v>8</v>
      </c>
      <c r="J15" s="61">
        <v>7</v>
      </c>
      <c r="K15" s="61">
        <v>10</v>
      </c>
      <c r="L15" s="61">
        <v>3.9</v>
      </c>
      <c r="M15" s="61">
        <v>3.6</v>
      </c>
      <c r="N15" s="61">
        <v>5.5</v>
      </c>
      <c r="O15" s="70">
        <v>5.5</v>
      </c>
      <c r="P15" s="70">
        <v>5</v>
      </c>
      <c r="Q15" s="70">
        <v>5</v>
      </c>
      <c r="R15" s="70">
        <v>6</v>
      </c>
      <c r="S15" s="70">
        <v>4</v>
      </c>
      <c r="T15" s="70">
        <v>5.5</v>
      </c>
      <c r="U15" s="70">
        <v>7</v>
      </c>
      <c r="V15" s="70"/>
      <c r="W15" s="70"/>
      <c r="X15" s="70"/>
      <c r="Y15" s="70"/>
      <c r="Z15" s="70"/>
      <c r="AA15" s="120"/>
    </row>
    <row r="16" spans="1:34" ht="14.25" x14ac:dyDescent="0.25">
      <c r="B16" s="63" t="s">
        <v>233</v>
      </c>
      <c r="C16" s="116">
        <v>10</v>
      </c>
      <c r="D16" s="61">
        <v>7</v>
      </c>
      <c r="E16" s="61">
        <v>16.600000000000001</v>
      </c>
      <c r="F16" s="61">
        <v>21</v>
      </c>
      <c r="G16" s="61">
        <v>15</v>
      </c>
      <c r="H16" s="61">
        <v>13.2</v>
      </c>
      <c r="I16" s="61">
        <v>10</v>
      </c>
      <c r="J16" s="61">
        <v>5.4</v>
      </c>
      <c r="K16" s="61">
        <v>3.2</v>
      </c>
      <c r="L16" s="61">
        <v>4.5</v>
      </c>
      <c r="M16" s="61">
        <v>8.1199999999999992</v>
      </c>
      <c r="N16" s="61">
        <v>11</v>
      </c>
      <c r="O16" s="70">
        <v>25</v>
      </c>
      <c r="P16" s="70">
        <v>26</v>
      </c>
      <c r="Q16" s="70">
        <v>50</v>
      </c>
      <c r="R16" s="70">
        <v>31</v>
      </c>
      <c r="S16" s="70">
        <v>11</v>
      </c>
      <c r="T16" s="70">
        <v>33</v>
      </c>
      <c r="U16" s="70">
        <v>25</v>
      </c>
      <c r="V16" s="70"/>
      <c r="W16" s="70"/>
      <c r="X16" s="70"/>
      <c r="Y16" s="70"/>
      <c r="Z16" s="70"/>
      <c r="AA16" s="120"/>
    </row>
    <row r="17" spans="2:27" ht="14.25" x14ac:dyDescent="0.25">
      <c r="B17" s="63" t="s">
        <v>258</v>
      </c>
      <c r="C17" s="116">
        <v>0.9</v>
      </c>
      <c r="D17" s="61">
        <v>0.95</v>
      </c>
      <c r="E17" s="61">
        <v>1.08</v>
      </c>
      <c r="F17" s="61">
        <v>0.89</v>
      </c>
      <c r="G17" s="61">
        <v>0.95</v>
      </c>
      <c r="H17" s="61">
        <v>1</v>
      </c>
      <c r="I17" s="61">
        <v>0.98</v>
      </c>
      <c r="J17" s="61">
        <v>0.98</v>
      </c>
      <c r="K17" s="61">
        <v>0.89</v>
      </c>
      <c r="L17" s="61">
        <v>0.87</v>
      </c>
      <c r="M17" s="61">
        <v>0.76</v>
      </c>
      <c r="N17" s="61">
        <v>1.5</v>
      </c>
      <c r="O17" s="70">
        <v>0.75</v>
      </c>
      <c r="P17" s="70">
        <v>0.85</v>
      </c>
      <c r="Q17" s="70">
        <v>0.75</v>
      </c>
      <c r="R17" s="70">
        <v>0.8</v>
      </c>
      <c r="S17" s="70">
        <v>0.8</v>
      </c>
      <c r="T17" s="70">
        <v>1.3</v>
      </c>
      <c r="U17" s="70">
        <v>1.3</v>
      </c>
      <c r="V17" s="70"/>
      <c r="W17" s="70"/>
      <c r="X17" s="70"/>
      <c r="Y17" s="70"/>
      <c r="Z17" s="70"/>
      <c r="AA17" s="120"/>
    </row>
    <row r="18" spans="2:27" ht="14.25" hidden="1" x14ac:dyDescent="0.25">
      <c r="B18" s="63" t="s">
        <v>267</v>
      </c>
      <c r="C18" s="116">
        <v>10.5</v>
      </c>
      <c r="D18" s="61">
        <v>11</v>
      </c>
      <c r="E18" s="61">
        <v>10</v>
      </c>
      <c r="F18" s="61">
        <v>10</v>
      </c>
      <c r="G18" s="61">
        <v>10</v>
      </c>
      <c r="H18" s="61">
        <v>9.5</v>
      </c>
      <c r="I18" s="61">
        <v>9.9</v>
      </c>
      <c r="J18" s="61">
        <v>11.2</v>
      </c>
      <c r="K18" s="61">
        <v>9.4</v>
      </c>
      <c r="L18" s="61">
        <v>9</v>
      </c>
      <c r="M18" s="61">
        <v>10</v>
      </c>
      <c r="N18" s="61">
        <v>11</v>
      </c>
      <c r="O18" s="70">
        <v>17</v>
      </c>
      <c r="P18" s="70">
        <v>10</v>
      </c>
      <c r="Q18" s="70">
        <v>16</v>
      </c>
      <c r="R18" s="70">
        <v>22</v>
      </c>
      <c r="S18" s="70">
        <v>5</v>
      </c>
      <c r="T18" s="70">
        <v>12</v>
      </c>
      <c r="U18" s="70">
        <v>19</v>
      </c>
      <c r="V18" s="70"/>
      <c r="W18" s="70"/>
      <c r="X18" s="70"/>
      <c r="Y18" s="70"/>
      <c r="Z18" s="70"/>
      <c r="AA18" s="120"/>
    </row>
    <row r="19" spans="2:27" ht="14.25" hidden="1" x14ac:dyDescent="0.25">
      <c r="B19" s="63" t="s">
        <v>270</v>
      </c>
      <c r="C19" s="116">
        <v>75</v>
      </c>
      <c r="D19" s="61">
        <v>30</v>
      </c>
      <c r="E19" s="61">
        <v>101</v>
      </c>
      <c r="F19" s="61">
        <v>84</v>
      </c>
      <c r="G19" s="61">
        <v>24</v>
      </c>
      <c r="H19" s="61">
        <v>60.5</v>
      </c>
      <c r="I19" s="61">
        <v>79</v>
      </c>
      <c r="J19" s="61">
        <v>37.1</v>
      </c>
      <c r="K19" s="61">
        <v>14</v>
      </c>
      <c r="L19" s="61">
        <v>15</v>
      </c>
      <c r="M19" s="61">
        <v>20</v>
      </c>
      <c r="N19" s="61">
        <v>77</v>
      </c>
      <c r="O19" s="70">
        <v>11</v>
      </c>
      <c r="P19" s="70">
        <v>10</v>
      </c>
      <c r="Q19" s="70">
        <v>12</v>
      </c>
      <c r="R19" s="70">
        <v>15</v>
      </c>
      <c r="S19" s="70">
        <v>12</v>
      </c>
      <c r="T19" s="70">
        <v>27</v>
      </c>
      <c r="U19" s="70">
        <v>68</v>
      </c>
      <c r="V19" s="70"/>
      <c r="W19" s="70"/>
      <c r="X19" s="70"/>
      <c r="Y19" s="70"/>
      <c r="Z19" s="70"/>
      <c r="AA19" s="120"/>
    </row>
    <row r="20" spans="2:27" ht="14.25" hidden="1" x14ac:dyDescent="0.25">
      <c r="B20" s="63" t="s">
        <v>268</v>
      </c>
      <c r="C20" s="116">
        <v>26</v>
      </c>
      <c r="D20" s="61">
        <v>22</v>
      </c>
      <c r="E20" s="61">
        <v>33</v>
      </c>
      <c r="F20" s="61">
        <v>31</v>
      </c>
      <c r="G20" s="61">
        <v>25</v>
      </c>
      <c r="H20" s="61">
        <v>27</v>
      </c>
      <c r="I20" s="61">
        <v>19</v>
      </c>
      <c r="J20" s="61">
        <v>12.2</v>
      </c>
      <c r="K20" s="61">
        <v>21</v>
      </c>
      <c r="L20" s="61">
        <v>28</v>
      </c>
      <c r="M20" s="61">
        <v>45</v>
      </c>
      <c r="N20" s="61">
        <v>33</v>
      </c>
      <c r="O20" s="70">
        <v>40</v>
      </c>
      <c r="P20" s="70">
        <v>25</v>
      </c>
      <c r="Q20" s="70">
        <v>50</v>
      </c>
      <c r="R20" s="70">
        <v>55</v>
      </c>
      <c r="S20" s="70">
        <v>20</v>
      </c>
      <c r="T20" s="70">
        <v>40</v>
      </c>
      <c r="U20" s="70">
        <v>44</v>
      </c>
      <c r="V20" s="70"/>
      <c r="W20" s="70"/>
      <c r="X20" s="70"/>
      <c r="Y20" s="70"/>
      <c r="Z20" s="70"/>
      <c r="AA20" s="120"/>
    </row>
    <row r="21" spans="2:27" ht="15" hidden="1" thickBot="1" x14ac:dyDescent="0.3">
      <c r="B21" s="64" t="s">
        <v>269</v>
      </c>
      <c r="C21" s="118">
        <v>50</v>
      </c>
      <c r="D21" s="68">
        <v>32</v>
      </c>
      <c r="E21" s="68">
        <v>106</v>
      </c>
      <c r="F21" s="68">
        <v>93</v>
      </c>
      <c r="G21" s="68">
        <v>27</v>
      </c>
      <c r="H21" s="68">
        <v>37</v>
      </c>
      <c r="I21" s="68">
        <v>38</v>
      </c>
      <c r="J21" s="68">
        <v>23</v>
      </c>
      <c r="K21" s="68">
        <v>13</v>
      </c>
      <c r="L21" s="68">
        <v>19</v>
      </c>
      <c r="M21" s="68">
        <v>40</v>
      </c>
      <c r="N21" s="68">
        <v>49</v>
      </c>
      <c r="O21" s="71">
        <v>31</v>
      </c>
      <c r="P21" s="71">
        <v>12</v>
      </c>
      <c r="Q21" s="71">
        <v>30</v>
      </c>
      <c r="R21" s="71">
        <v>15</v>
      </c>
      <c r="S21" s="71">
        <v>15</v>
      </c>
      <c r="T21" s="71">
        <v>13</v>
      </c>
      <c r="U21" s="71">
        <v>37</v>
      </c>
      <c r="V21" s="71"/>
      <c r="W21" s="71"/>
      <c r="X21" s="71"/>
      <c r="Y21" s="71"/>
      <c r="Z21" s="71"/>
      <c r="AA21" s="121"/>
    </row>
    <row r="23" spans="2:27" x14ac:dyDescent="0.2">
      <c r="T23" t="s">
        <v>255</v>
      </c>
    </row>
    <row r="24" spans="2:27" x14ac:dyDescent="0.2">
      <c r="B24" s="123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</sheetData>
  <phoneticPr fontId="10" type="noConversion"/>
  <pageMargins left="0.75" right="0.75" top="1" bottom="1" header="0.5" footer="0.5"/>
  <pageSetup fitToWidth="4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5286-5E84-49A0-8B94-C1F4C842CC9B}">
  <sheetPr codeName="Sheet3"/>
  <dimension ref="A1:H49"/>
  <sheetViews>
    <sheetView showGridLines="0" topLeftCell="A6" workbookViewId="0">
      <selection activeCell="B41" sqref="B41"/>
    </sheetView>
  </sheetViews>
  <sheetFormatPr defaultRowHeight="12.75" x14ac:dyDescent="0.2"/>
  <cols>
    <col min="2" max="2" width="12.42578125" bestFit="1" customWidth="1"/>
  </cols>
  <sheetData>
    <row r="1" spans="1:8" hidden="1" x14ac:dyDescent="0.2">
      <c r="A1" t="s">
        <v>70</v>
      </c>
      <c r="B1">
        <f>Calculations!B34</f>
        <v>48</v>
      </c>
      <c r="D1" t="s">
        <v>73</v>
      </c>
      <c r="E1" s="4">
        <f ca="1">Calculations!B119</f>
        <v>1.2950290899225272E-5</v>
      </c>
      <c r="G1" t="s">
        <v>76</v>
      </c>
      <c r="H1" s="32">
        <f>Calculations!B42</f>
        <v>200000</v>
      </c>
    </row>
    <row r="2" spans="1:8" hidden="1" x14ac:dyDescent="0.2">
      <c r="A2" t="s">
        <v>15</v>
      </c>
      <c r="B2">
        <f>Calculations!B36</f>
        <v>5</v>
      </c>
      <c r="D2" t="s">
        <v>74</v>
      </c>
      <c r="E2">
        <f>Calculations!B143/1000000</f>
        <v>1.3999999999999999E-4</v>
      </c>
      <c r="G2" t="s">
        <v>77</v>
      </c>
      <c r="H2" s="32">
        <v>2.3999999999999998E-3</v>
      </c>
    </row>
    <row r="3" spans="1:8" hidden="1" x14ac:dyDescent="0.2">
      <c r="A3" t="s">
        <v>71</v>
      </c>
      <c r="B3">
        <v>2</v>
      </c>
      <c r="D3" t="s">
        <v>75</v>
      </c>
      <c r="E3">
        <f>Calculations!B144/1000</f>
        <v>3.0000000000000001E-3</v>
      </c>
      <c r="G3" t="s">
        <v>78</v>
      </c>
      <c r="H3">
        <f>PI()/3</f>
        <v>1.0471975511965976</v>
      </c>
    </row>
    <row r="4" spans="1:8" hidden="1" x14ac:dyDescent="0.2">
      <c r="A4" t="s">
        <v>72</v>
      </c>
      <c r="B4">
        <v>1.25</v>
      </c>
    </row>
    <row r="5" spans="1:8" hidden="1" x14ac:dyDescent="0.2"/>
    <row r="6" spans="1:8" ht="18" x14ac:dyDescent="0.25">
      <c r="A6" s="5" t="s">
        <v>114</v>
      </c>
    </row>
    <row r="8" spans="1:8" x14ac:dyDescent="0.2">
      <c r="A8" s="8" t="s">
        <v>99</v>
      </c>
      <c r="B8" s="8"/>
      <c r="C8" s="8"/>
    </row>
    <row r="9" spans="1:8" hidden="1" x14ac:dyDescent="0.2">
      <c r="A9" s="8"/>
    </row>
    <row r="10" spans="1:8" x14ac:dyDescent="0.2">
      <c r="A10" s="8"/>
      <c r="C10" t="s">
        <v>20</v>
      </c>
    </row>
    <row r="11" spans="1:8" x14ac:dyDescent="0.2">
      <c r="A11" s="18" t="s">
        <v>93</v>
      </c>
      <c r="B11" s="41">
        <f ca="1">B12/1000</f>
        <v>3.7378025141839064</v>
      </c>
      <c r="C11" s="18" t="s">
        <v>64</v>
      </c>
    </row>
    <row r="12" spans="1:8" hidden="1" x14ac:dyDescent="0.2">
      <c r="A12" s="35" t="s">
        <v>93</v>
      </c>
      <c r="B12" s="39">
        <f ca="1">1/(2*PI()*SQRT(E1*E2))</f>
        <v>3737.8025141839066</v>
      </c>
      <c r="C12" s="18"/>
    </row>
    <row r="13" spans="1:8" x14ac:dyDescent="0.2">
      <c r="A13" s="18" t="s">
        <v>94</v>
      </c>
      <c r="B13" s="41">
        <f>B14/1000</f>
        <v>378.94034069498895</v>
      </c>
      <c r="C13" s="18" t="s">
        <v>64</v>
      </c>
    </row>
    <row r="14" spans="1:8" hidden="1" x14ac:dyDescent="0.2">
      <c r="A14" s="35" t="s">
        <v>94</v>
      </c>
      <c r="B14" s="39">
        <f>1/(2*PI()*E3*E2)</f>
        <v>378940.34069498896</v>
      </c>
      <c r="C14" s="18"/>
    </row>
    <row r="15" spans="1:8" x14ac:dyDescent="0.2">
      <c r="A15" s="18" t="s">
        <v>80</v>
      </c>
      <c r="B15" s="41">
        <f>B16/1000</f>
        <v>25</v>
      </c>
      <c r="C15" s="18" t="s">
        <v>64</v>
      </c>
    </row>
    <row r="16" spans="1:8" hidden="1" x14ac:dyDescent="0.2">
      <c r="A16" s="35" t="s">
        <v>80</v>
      </c>
      <c r="B16" s="39">
        <f>H1/8</f>
        <v>25000</v>
      </c>
      <c r="C16" s="18"/>
    </row>
    <row r="18" spans="1:6" x14ac:dyDescent="0.2">
      <c r="A18" s="152" t="str">
        <f ca="1">IF(AND((H1/2&gt;B16),(B16&gt;B14),(B14&gt;B12)),"This is sufficient compensation","This type of compensation is not sufficient !!!! Use another.")</f>
        <v>This type of compensation is not sufficient !!!! Use another.</v>
      </c>
      <c r="B18" s="152"/>
      <c r="C18" s="152"/>
      <c r="D18" s="152"/>
      <c r="E18" s="152"/>
      <c r="F18" s="152"/>
    </row>
    <row r="19" spans="1:6" hidden="1" x14ac:dyDescent="0.2">
      <c r="B19" s="38">
        <f ca="1">IF(AND((H1/2&gt;B16),(B16&gt;B14),(B14&gt;B12)),1,0)</f>
        <v>0</v>
      </c>
    </row>
    <row r="21" spans="1:6" x14ac:dyDescent="0.2">
      <c r="A21" s="8" t="s">
        <v>100</v>
      </c>
    </row>
    <row r="22" spans="1:6" hidden="1" x14ac:dyDescent="0.2">
      <c r="A22" s="8"/>
    </row>
    <row r="23" spans="1:6" x14ac:dyDescent="0.2">
      <c r="C23" t="s">
        <v>20</v>
      </c>
    </row>
    <row r="24" spans="1:6" x14ac:dyDescent="0.2">
      <c r="A24" s="18" t="s">
        <v>95</v>
      </c>
      <c r="B24" s="41">
        <f ca="1">B25/1000</f>
        <v>2.8033518856379303</v>
      </c>
      <c r="C24" s="18" t="s">
        <v>64</v>
      </c>
    </row>
    <row r="25" spans="1:6" hidden="1" x14ac:dyDescent="0.2">
      <c r="A25" s="35" t="s">
        <v>95</v>
      </c>
      <c r="B25" s="35">
        <f ca="1">0.75*B12</f>
        <v>2803.3518856379301</v>
      </c>
      <c r="C25" s="18"/>
    </row>
    <row r="26" spans="1:6" x14ac:dyDescent="0.2">
      <c r="A26" s="18" t="s">
        <v>96</v>
      </c>
      <c r="B26" s="41">
        <f>B27/1000</f>
        <v>100</v>
      </c>
      <c r="C26" s="18" t="s">
        <v>64</v>
      </c>
    </row>
    <row r="27" spans="1:6" hidden="1" x14ac:dyDescent="0.2">
      <c r="A27" s="35" t="s">
        <v>96</v>
      </c>
      <c r="B27" s="36">
        <f>H1/2</f>
        <v>100000</v>
      </c>
      <c r="C27" s="18"/>
    </row>
    <row r="29" spans="1:6" x14ac:dyDescent="0.2">
      <c r="A29" s="8" t="s">
        <v>103</v>
      </c>
    </row>
    <row r="30" spans="1:6" hidden="1" x14ac:dyDescent="0.2"/>
    <row r="31" spans="1:6" x14ac:dyDescent="0.2">
      <c r="C31" t="s">
        <v>20</v>
      </c>
    </row>
    <row r="32" spans="1:6" x14ac:dyDescent="0.2">
      <c r="A32" s="18" t="s">
        <v>57</v>
      </c>
      <c r="B32" s="42">
        <f ca="1">(2*PI()*B16*E1*B3)/(E3*B1*H2)*(B2/B4)</f>
        <v>47088.586517195443</v>
      </c>
      <c r="C32" s="20" t="s">
        <v>32</v>
      </c>
    </row>
    <row r="33" spans="1:6" x14ac:dyDescent="0.2">
      <c r="A33" s="18" t="s">
        <v>88</v>
      </c>
      <c r="B33" s="41">
        <f ca="1">B34*1000000000</f>
        <v>1.2056655789751616</v>
      </c>
      <c r="C33" s="18" t="s">
        <v>61</v>
      </c>
    </row>
    <row r="34" spans="1:6" hidden="1" x14ac:dyDescent="0.2">
      <c r="A34" s="35" t="s">
        <v>88</v>
      </c>
      <c r="B34" s="35">
        <f ca="1">1/(0.75*2*PI()*B12*B32)</f>
        <v>1.2056655789751615E-9</v>
      </c>
      <c r="C34" s="18"/>
    </row>
    <row r="35" spans="1:6" x14ac:dyDescent="0.2">
      <c r="A35" s="18" t="s">
        <v>89</v>
      </c>
      <c r="B35" s="41">
        <f ca="1">B36*1000000000000</f>
        <v>33.79904874268766</v>
      </c>
      <c r="C35" s="18" t="s">
        <v>104</v>
      </c>
      <c r="D35" t="s">
        <v>109</v>
      </c>
    </row>
    <row r="36" spans="1:6" hidden="1" x14ac:dyDescent="0.2">
      <c r="A36" s="35" t="s">
        <v>89</v>
      </c>
      <c r="B36" s="36">
        <f ca="1">1/(PI()*B32*H1)</f>
        <v>3.3799048742687656E-11</v>
      </c>
      <c r="C36" s="18"/>
    </row>
    <row r="38" spans="1:6" x14ac:dyDescent="0.2">
      <c r="A38" s="17" t="s">
        <v>51</v>
      </c>
    </row>
    <row r="39" spans="1:6" x14ac:dyDescent="0.2">
      <c r="C39" s="12" t="s">
        <v>20</v>
      </c>
    </row>
    <row r="40" spans="1:6" x14ac:dyDescent="0.2">
      <c r="A40" s="73" t="s">
        <v>15</v>
      </c>
      <c r="B40" s="97">
        <f>B2</f>
        <v>5</v>
      </c>
      <c r="C40" s="103" t="s">
        <v>0</v>
      </c>
      <c r="D40" s="79" t="s">
        <v>22</v>
      </c>
      <c r="E40" s="79"/>
      <c r="F40" s="79"/>
    </row>
    <row r="41" spans="1:6" x14ac:dyDescent="0.2">
      <c r="A41" s="13" t="s">
        <v>58</v>
      </c>
      <c r="B41" s="2">
        <v>22000</v>
      </c>
      <c r="C41" s="20" t="s">
        <v>32</v>
      </c>
      <c r="D41" s="79" t="s">
        <v>24</v>
      </c>
      <c r="E41" s="79"/>
      <c r="F41" s="79"/>
    </row>
    <row r="42" spans="1:6" x14ac:dyDescent="0.2">
      <c r="A42" s="73" t="s">
        <v>92</v>
      </c>
      <c r="B42" s="104">
        <f>B43</f>
        <v>66000</v>
      </c>
      <c r="C42" s="20" t="s">
        <v>32</v>
      </c>
      <c r="D42" s="79" t="s">
        <v>23</v>
      </c>
      <c r="E42" s="79"/>
      <c r="F42" s="79"/>
    </row>
    <row r="43" spans="1:6" hidden="1" x14ac:dyDescent="0.2">
      <c r="A43" s="72"/>
      <c r="B43" s="83">
        <f>B41*((B40/1.25)-1)</f>
        <v>66000</v>
      </c>
      <c r="C43" s="84"/>
      <c r="D43" s="79"/>
      <c r="E43" s="79"/>
      <c r="F43" s="79"/>
    </row>
    <row r="44" spans="1:6" x14ac:dyDescent="0.2">
      <c r="A44" s="72"/>
      <c r="B44" s="84"/>
      <c r="C44" s="84"/>
      <c r="D44" s="79"/>
      <c r="E44" s="79"/>
      <c r="F44" s="79"/>
    </row>
    <row r="45" spans="1:6" x14ac:dyDescent="0.2">
      <c r="A45" s="17" t="s">
        <v>52</v>
      </c>
      <c r="B45" s="84"/>
      <c r="C45" s="84"/>
      <c r="D45" s="79"/>
      <c r="E45" s="79"/>
      <c r="F45" s="79"/>
    </row>
    <row r="46" spans="1:6" x14ac:dyDescent="0.2">
      <c r="A46" s="72"/>
      <c r="B46" s="84"/>
      <c r="C46" s="84" t="s">
        <v>20</v>
      </c>
      <c r="D46" s="79"/>
      <c r="E46" s="79"/>
      <c r="F46" s="79"/>
    </row>
    <row r="47" spans="1:6" x14ac:dyDescent="0.2">
      <c r="A47" s="13" t="s">
        <v>92</v>
      </c>
      <c r="B47" s="2">
        <v>66000</v>
      </c>
      <c r="C47" s="20" t="s">
        <v>32</v>
      </c>
      <c r="D47" s="79" t="s">
        <v>108</v>
      </c>
      <c r="E47" s="79"/>
      <c r="F47" s="79"/>
    </row>
    <row r="48" spans="1:6" x14ac:dyDescent="0.2">
      <c r="A48" s="73" t="s">
        <v>15</v>
      </c>
      <c r="B48" s="106">
        <f>1.25*(1+B47/B41)</f>
        <v>5</v>
      </c>
      <c r="C48" s="85" t="s">
        <v>0</v>
      </c>
      <c r="D48" s="79"/>
      <c r="E48" s="79"/>
      <c r="F48" s="79"/>
    </row>
    <row r="49" spans="1:6" x14ac:dyDescent="0.2">
      <c r="A49" s="79"/>
      <c r="B49" s="79"/>
      <c r="C49" s="79"/>
      <c r="D49" s="79"/>
      <c r="E49" s="79"/>
      <c r="F49" s="79"/>
    </row>
  </sheetData>
  <sheetProtection password="CE61" sheet="1" objects="1" scenarios="1"/>
  <mergeCells count="1">
    <mergeCell ref="A18:F18"/>
  </mergeCells>
  <phoneticPr fontId="10" type="noConversion"/>
  <conditionalFormatting sqref="A18">
    <cfRule type="expression" dxfId="13" priority="1" stopIfTrue="1">
      <formula>NOT(AND((H1/2&gt;B16),(B16&gt;B14),(B14&gt;B12)))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7A85-509C-4292-8EC0-0B1855D9214F}">
  <sheetPr codeName="Sheet6"/>
  <dimension ref="A1:H68"/>
  <sheetViews>
    <sheetView showGridLines="0" topLeftCell="A6" workbookViewId="0">
      <selection activeCell="A6" sqref="A6"/>
    </sheetView>
  </sheetViews>
  <sheetFormatPr defaultRowHeight="12.75" x14ac:dyDescent="0.2"/>
  <cols>
    <col min="2" max="2" width="12.42578125" bestFit="1" customWidth="1"/>
  </cols>
  <sheetData>
    <row r="1" spans="1:8" hidden="1" x14ac:dyDescent="0.2">
      <c r="A1" t="s">
        <v>70</v>
      </c>
      <c r="B1">
        <f>Calculations!B34</f>
        <v>48</v>
      </c>
      <c r="D1" t="s">
        <v>73</v>
      </c>
      <c r="E1" s="4">
        <f ca="1">Calculations!B119</f>
        <v>1.2950290899225272E-5</v>
      </c>
      <c r="G1" t="s">
        <v>76</v>
      </c>
      <c r="H1" s="32">
        <f>Calculations!B42</f>
        <v>200000</v>
      </c>
    </row>
    <row r="2" spans="1:8" hidden="1" x14ac:dyDescent="0.2">
      <c r="A2" t="s">
        <v>15</v>
      </c>
      <c r="B2">
        <f>Calculations!B36</f>
        <v>5</v>
      </c>
      <c r="D2" t="s">
        <v>74</v>
      </c>
      <c r="E2">
        <f>Calculations!B143/1000000</f>
        <v>1.3999999999999999E-4</v>
      </c>
      <c r="G2" t="s">
        <v>77</v>
      </c>
      <c r="H2" s="32">
        <v>2.3999999999999998E-3</v>
      </c>
    </row>
    <row r="3" spans="1:8" hidden="1" x14ac:dyDescent="0.2">
      <c r="A3" t="s">
        <v>71</v>
      </c>
      <c r="B3">
        <v>2</v>
      </c>
      <c r="D3" t="s">
        <v>75</v>
      </c>
      <c r="E3">
        <f>Calculations!B144/1000</f>
        <v>3.0000000000000001E-3</v>
      </c>
      <c r="G3" t="s">
        <v>78</v>
      </c>
      <c r="H3">
        <f>PI()/3</f>
        <v>1.0471975511965976</v>
      </c>
    </row>
    <row r="4" spans="1:8" hidden="1" x14ac:dyDescent="0.2">
      <c r="A4" t="s">
        <v>72</v>
      </c>
      <c r="B4">
        <v>1.25</v>
      </c>
    </row>
    <row r="5" spans="1:8" hidden="1" x14ac:dyDescent="0.2"/>
    <row r="6" spans="1:8" ht="18" x14ac:dyDescent="0.25">
      <c r="A6" s="5" t="s">
        <v>138</v>
      </c>
    </row>
    <row r="7" spans="1:8" ht="18" x14ac:dyDescent="0.25">
      <c r="A7" s="5"/>
    </row>
    <row r="8" spans="1:8" x14ac:dyDescent="0.2">
      <c r="A8" s="8" t="s">
        <v>99</v>
      </c>
    </row>
    <row r="9" spans="1:8" hidden="1" x14ac:dyDescent="0.2"/>
    <row r="10" spans="1:8" x14ac:dyDescent="0.2">
      <c r="C10" t="s">
        <v>20</v>
      </c>
    </row>
    <row r="11" spans="1:8" x14ac:dyDescent="0.2">
      <c r="A11" s="18" t="s">
        <v>94</v>
      </c>
      <c r="B11" s="41">
        <f>B12/1000</f>
        <v>378.94034069498895</v>
      </c>
      <c r="C11" s="18" t="s">
        <v>64</v>
      </c>
    </row>
    <row r="12" spans="1:8" hidden="1" x14ac:dyDescent="0.2">
      <c r="A12" s="35" t="s">
        <v>94</v>
      </c>
      <c r="B12" s="33">
        <f>1/(2*PI()*E3*E2)</f>
        <v>378940.34069498896</v>
      </c>
      <c r="C12" s="18"/>
    </row>
    <row r="13" spans="1:8" x14ac:dyDescent="0.2">
      <c r="A13" s="18" t="s">
        <v>93</v>
      </c>
      <c r="B13" s="41">
        <f ca="1">B14/1000</f>
        <v>3.7378025141839064</v>
      </c>
      <c r="C13" s="18" t="s">
        <v>64</v>
      </c>
    </row>
    <row r="14" spans="1:8" hidden="1" x14ac:dyDescent="0.2">
      <c r="A14" s="35" t="s">
        <v>93</v>
      </c>
      <c r="B14" s="43">
        <f ca="1">1/(2*PI()*SQRT(E1*E2))</f>
        <v>3737.8025141839066</v>
      </c>
      <c r="C14" s="18"/>
    </row>
    <row r="15" spans="1:8" x14ac:dyDescent="0.2">
      <c r="A15" s="18" t="s">
        <v>80</v>
      </c>
      <c r="B15" s="41">
        <f>B16/1000</f>
        <v>25</v>
      </c>
      <c r="C15" s="18" t="s">
        <v>64</v>
      </c>
    </row>
    <row r="16" spans="1:8" hidden="1" x14ac:dyDescent="0.2">
      <c r="A16" s="35" t="s">
        <v>80</v>
      </c>
      <c r="B16" s="36">
        <f>H1/8</f>
        <v>25000</v>
      </c>
      <c r="C16" s="18"/>
    </row>
    <row r="18" spans="1:6" x14ac:dyDescent="0.2">
      <c r="A18" s="152" t="str">
        <f ca="1">IF(AND((H1/2&gt;B12),(B12&gt;B16),(B16&gt;B14)),"This is sufficient compensation","This type of compensation is not sufficient !!!! Use another.")</f>
        <v>This type of compensation is not sufficient !!!! Use another.</v>
      </c>
      <c r="B18" s="152"/>
      <c r="C18" s="152"/>
      <c r="D18" s="152"/>
      <c r="E18" s="152"/>
      <c r="F18" s="152"/>
    </row>
    <row r="19" spans="1:6" hidden="1" x14ac:dyDescent="0.2">
      <c r="B19" s="38">
        <f ca="1">IF(AND((H1/2&gt;B12),(B12&gt;B16),(B16&gt;B14)),1,0)</f>
        <v>0</v>
      </c>
    </row>
    <row r="21" spans="1:6" x14ac:dyDescent="0.2">
      <c r="A21" s="8" t="s">
        <v>100</v>
      </c>
    </row>
    <row r="22" spans="1:6" hidden="1" x14ac:dyDescent="0.2">
      <c r="A22" s="8"/>
    </row>
    <row r="23" spans="1:6" x14ac:dyDescent="0.2">
      <c r="C23" t="s">
        <v>20</v>
      </c>
    </row>
    <row r="24" spans="1:6" x14ac:dyDescent="0.2">
      <c r="A24" s="18" t="s">
        <v>95</v>
      </c>
      <c r="B24" s="41">
        <f ca="1">B25/1000</f>
        <v>2.8033518856379303</v>
      </c>
      <c r="C24" s="18" t="s">
        <v>64</v>
      </c>
    </row>
    <row r="25" spans="1:6" hidden="1" x14ac:dyDescent="0.2">
      <c r="A25" s="35" t="s">
        <v>95</v>
      </c>
      <c r="B25" s="43">
        <f ca="1">0.75*B14</f>
        <v>2803.3518856379301</v>
      </c>
      <c r="C25" s="18"/>
    </row>
    <row r="26" spans="1:6" x14ac:dyDescent="0.2">
      <c r="A26" s="18" t="s">
        <v>97</v>
      </c>
      <c r="B26" s="41">
        <f ca="1">B27/1000</f>
        <v>3.7378025141839064</v>
      </c>
      <c r="C26" s="18" t="s">
        <v>64</v>
      </c>
    </row>
    <row r="27" spans="1:6" hidden="1" x14ac:dyDescent="0.2">
      <c r="A27" s="35" t="s">
        <v>97</v>
      </c>
      <c r="B27" s="43">
        <f ca="1">B14</f>
        <v>3737.8025141839066</v>
      </c>
      <c r="C27" s="18"/>
    </row>
    <row r="28" spans="1:6" x14ac:dyDescent="0.2">
      <c r="A28" s="18" t="s">
        <v>96</v>
      </c>
      <c r="B28" s="41">
        <f>B29/1000</f>
        <v>378.94034069498895</v>
      </c>
      <c r="C28" s="18" t="s">
        <v>64</v>
      </c>
    </row>
    <row r="29" spans="1:6" hidden="1" x14ac:dyDescent="0.2">
      <c r="A29" s="35" t="s">
        <v>96</v>
      </c>
      <c r="B29" s="33">
        <f>B12</f>
        <v>378940.34069498896</v>
      </c>
      <c r="C29" s="18"/>
    </row>
    <row r="30" spans="1:6" x14ac:dyDescent="0.2">
      <c r="A30" s="18" t="s">
        <v>98</v>
      </c>
      <c r="B30" s="41">
        <f>B31/1000</f>
        <v>100</v>
      </c>
      <c r="C30" s="18" t="s">
        <v>64</v>
      </c>
    </row>
    <row r="31" spans="1:6" hidden="1" x14ac:dyDescent="0.2">
      <c r="A31" s="35" t="s">
        <v>98</v>
      </c>
      <c r="B31" s="36">
        <f>H1/2</f>
        <v>100000</v>
      </c>
      <c r="C31" s="18"/>
    </row>
    <row r="33" spans="1:7" x14ac:dyDescent="0.2">
      <c r="A33" s="8" t="s">
        <v>103</v>
      </c>
    </row>
    <row r="34" spans="1:7" hidden="1" x14ac:dyDescent="0.2"/>
    <row r="35" spans="1:7" x14ac:dyDescent="0.2">
      <c r="C35" t="s">
        <v>20</v>
      </c>
    </row>
    <row r="36" spans="1:7" x14ac:dyDescent="0.2">
      <c r="A36" s="18" t="s">
        <v>86</v>
      </c>
      <c r="B36" s="42">
        <f>2/H2</f>
        <v>833.33333333333337</v>
      </c>
      <c r="C36" s="20" t="s">
        <v>32</v>
      </c>
      <c r="D36" t="s">
        <v>102</v>
      </c>
    </row>
    <row r="37" spans="1:7" x14ac:dyDescent="0.2">
      <c r="A37" s="18" t="s">
        <v>57</v>
      </c>
      <c r="B37" s="34">
        <v>9100</v>
      </c>
      <c r="C37" s="20" t="s">
        <v>32</v>
      </c>
      <c r="D37" s="145" t="str">
        <f>IF(B37&lt;B36,"&lt;-- Set value is smaller than calculated!","&lt;-- Choose value")</f>
        <v>&lt;-- Choose value</v>
      </c>
      <c r="E37" s="146"/>
      <c r="F37" s="146"/>
      <c r="G37" s="146"/>
    </row>
    <row r="38" spans="1:7" x14ac:dyDescent="0.2">
      <c r="A38" s="18" t="s">
        <v>88</v>
      </c>
      <c r="B38" s="41">
        <f ca="1">B39*1000000000</f>
        <v>6.2388008710303771</v>
      </c>
      <c r="C38" s="18" t="s">
        <v>61</v>
      </c>
    </row>
    <row r="39" spans="1:7" hidden="1" x14ac:dyDescent="0.2">
      <c r="A39" s="35" t="s">
        <v>88</v>
      </c>
      <c r="B39" s="43">
        <f ca="1">1/(2*PI()*B25*B37)</f>
        <v>6.2388008710303771E-9</v>
      </c>
      <c r="C39" s="18"/>
    </row>
    <row r="40" spans="1:7" x14ac:dyDescent="0.2">
      <c r="A40" s="18" t="s">
        <v>89</v>
      </c>
      <c r="B40" s="41">
        <f>B41*1000000000000</f>
        <v>174.89554185922566</v>
      </c>
      <c r="C40" s="18" t="s">
        <v>104</v>
      </c>
    </row>
    <row r="41" spans="1:7" hidden="1" x14ac:dyDescent="0.2">
      <c r="A41" s="35" t="s">
        <v>89</v>
      </c>
      <c r="B41" s="36">
        <f>1/(2*PI()*B31*B37)</f>
        <v>1.7489554185922566E-10</v>
      </c>
      <c r="C41" s="18"/>
    </row>
    <row r="43" spans="1:7" x14ac:dyDescent="0.2">
      <c r="A43" s="8" t="s">
        <v>105</v>
      </c>
    </row>
    <row r="44" spans="1:7" hidden="1" x14ac:dyDescent="0.2"/>
    <row r="45" spans="1:7" x14ac:dyDescent="0.2">
      <c r="C45" t="s">
        <v>20</v>
      </c>
    </row>
    <row r="46" spans="1:7" x14ac:dyDescent="0.2">
      <c r="A46" s="18" t="s">
        <v>92</v>
      </c>
      <c r="B46" s="41">
        <f ca="1">B47/1000</f>
        <v>23.553442763910621</v>
      </c>
      <c r="C46" s="18" t="s">
        <v>47</v>
      </c>
    </row>
    <row r="47" spans="1:7" hidden="1" x14ac:dyDescent="0.2">
      <c r="A47" s="35" t="s">
        <v>92</v>
      </c>
      <c r="B47" s="43">
        <f ca="1">1/(2*PI()*B62*B27)-B37</f>
        <v>23553.442763910622</v>
      </c>
      <c r="C47" s="18"/>
    </row>
    <row r="48" spans="1:7" x14ac:dyDescent="0.2">
      <c r="A48" s="18" t="s">
        <v>58</v>
      </c>
      <c r="B48" s="41">
        <f ca="1">B49/1000</f>
        <v>7.8511475879702068</v>
      </c>
      <c r="C48" s="18" t="s">
        <v>47</v>
      </c>
    </row>
    <row r="49" spans="1:4" hidden="1" x14ac:dyDescent="0.2">
      <c r="A49" s="35" t="s">
        <v>58</v>
      </c>
      <c r="B49" s="37">
        <f ca="1">B4/(B2-B4)*B47</f>
        <v>7851.1475879702066</v>
      </c>
      <c r="C49" s="18"/>
    </row>
    <row r="51" spans="1:4" x14ac:dyDescent="0.2">
      <c r="A51" s="8" t="s">
        <v>110</v>
      </c>
    </row>
    <row r="52" spans="1:4" hidden="1" x14ac:dyDescent="0.2"/>
    <row r="53" spans="1:4" x14ac:dyDescent="0.2">
      <c r="C53" t="s">
        <v>20</v>
      </c>
    </row>
    <row r="54" spans="1:4" x14ac:dyDescent="0.2">
      <c r="A54" s="18" t="s">
        <v>92</v>
      </c>
      <c r="B54" s="34">
        <v>26</v>
      </c>
      <c r="C54" s="18" t="s">
        <v>47</v>
      </c>
      <c r="D54" t="s">
        <v>108</v>
      </c>
    </row>
    <row r="55" spans="1:4" x14ac:dyDescent="0.2">
      <c r="A55" s="18" t="s">
        <v>58</v>
      </c>
      <c r="B55" s="34">
        <v>8.6</v>
      </c>
      <c r="C55" s="18" t="s">
        <v>47</v>
      </c>
      <c r="D55" t="s">
        <v>112</v>
      </c>
    </row>
    <row r="56" spans="1:4" x14ac:dyDescent="0.2">
      <c r="A56" s="18" t="s">
        <v>15</v>
      </c>
      <c r="B56" s="41">
        <f>1.25/(B55/(B55+B54))</f>
        <v>5.029069767441861</v>
      </c>
      <c r="C56" s="18" t="s">
        <v>0</v>
      </c>
    </row>
    <row r="58" spans="1:4" x14ac:dyDescent="0.2">
      <c r="A58" s="8" t="s">
        <v>111</v>
      </c>
    </row>
    <row r="59" spans="1:4" hidden="1" x14ac:dyDescent="0.2"/>
    <row r="60" spans="1:4" x14ac:dyDescent="0.2">
      <c r="C60" t="s">
        <v>20</v>
      </c>
    </row>
    <row r="61" spans="1:4" x14ac:dyDescent="0.2">
      <c r="A61" s="18" t="s">
        <v>117</v>
      </c>
      <c r="B61" s="41">
        <f ca="1">B62*1000000000000</f>
        <v>1303.9916266300277</v>
      </c>
      <c r="C61" s="18" t="s">
        <v>104</v>
      </c>
    </row>
    <row r="62" spans="1:4" hidden="1" x14ac:dyDescent="0.2">
      <c r="A62" s="35" t="s">
        <v>117</v>
      </c>
      <c r="B62" s="33">
        <f ca="1">(B3*2*PI()*B16*E1*E2)/(B1*B37)</f>
        <v>1.3039916266300277E-9</v>
      </c>
      <c r="C62" s="18"/>
    </row>
    <row r="63" spans="1:4" x14ac:dyDescent="0.2">
      <c r="A63" s="18" t="s">
        <v>91</v>
      </c>
      <c r="B63" s="41">
        <f ca="1">B64/1000</f>
        <v>0.32208795779266425</v>
      </c>
      <c r="C63" s="18" t="s">
        <v>47</v>
      </c>
    </row>
    <row r="64" spans="1:4" hidden="1" x14ac:dyDescent="0.2">
      <c r="A64" s="35" t="s">
        <v>91</v>
      </c>
      <c r="B64" s="35">
        <f ca="1">1/(2*PI()*B62*B29)</f>
        <v>322.08795779266427</v>
      </c>
      <c r="C64" s="18"/>
    </row>
    <row r="66" spans="1:5" x14ac:dyDescent="0.2">
      <c r="A66" s="8" t="s">
        <v>113</v>
      </c>
    </row>
    <row r="68" spans="1:5" x14ac:dyDescent="0.2">
      <c r="A68" s="18" t="s">
        <v>106</v>
      </c>
      <c r="B68" s="154" t="str">
        <f ca="1">IF(AND((H1/2&gt;B12),(B12&gt;B16),(B16&gt;B14)),IF(1/(1/B49+1/B47+1/B64)&gt;1/H2,"OK","Increase R3 resistor value!!!"),"ERROR")</f>
        <v>ERROR</v>
      </c>
      <c r="C68" s="155"/>
      <c r="D68" s="156"/>
      <c r="E68" t="s">
        <v>134</v>
      </c>
    </row>
  </sheetData>
  <mergeCells count="3">
    <mergeCell ref="A18:F18"/>
    <mergeCell ref="D37:G37"/>
    <mergeCell ref="B68:D68"/>
  </mergeCells>
  <phoneticPr fontId="10" type="noConversion"/>
  <conditionalFormatting sqref="A18">
    <cfRule type="expression" dxfId="12" priority="3" stopIfTrue="1">
      <formula>NOT(AND((H1/2&gt;B12),(B12&gt;B16),(B16&gt;B14)))</formula>
    </cfRule>
  </conditionalFormatting>
  <conditionalFormatting sqref="B18 E18">
    <cfRule type="expression" dxfId="11" priority="1" stopIfTrue="1">
      <formula>NOT(AND((I1/2&gt;C14),(C14&gt;C16),(C16&gt;C12)))</formula>
    </cfRule>
  </conditionalFormatting>
  <conditionalFormatting sqref="B68:D68">
    <cfRule type="expression" dxfId="10" priority="5" stopIfTrue="1">
      <formula>NOT(AND((H1/2&gt;B12),(B12&gt;B16),(B16&gt;B14),(1/(1/B49+1/B47+1/B64)&gt;1/H2)))</formula>
    </cfRule>
  </conditionalFormatting>
  <conditionalFormatting sqref="C18:D18">
    <cfRule type="expression" dxfId="9" priority="2" stopIfTrue="1">
      <formula>NOT(AND((J1/2&gt;#REF!),(#REF!&gt;D16),(D16&gt;D12)))</formula>
    </cfRule>
  </conditionalFormatting>
  <conditionalFormatting sqref="D37:G37">
    <cfRule type="expression" dxfId="8" priority="4" stopIfTrue="1">
      <formula>(B37&lt;B36)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CA49-7CE2-4C76-81BD-53D39D6ED392}">
  <sheetPr codeName="Sheet2"/>
  <dimension ref="A1:O70"/>
  <sheetViews>
    <sheetView showGridLines="0" topLeftCell="A6" workbookViewId="0">
      <selection activeCell="A6" sqref="A6"/>
    </sheetView>
  </sheetViews>
  <sheetFormatPr defaultRowHeight="12.75" x14ac:dyDescent="0.2"/>
  <cols>
    <col min="2" max="2" width="12.42578125" bestFit="1" customWidth="1"/>
    <col min="6" max="6" width="10.42578125" customWidth="1"/>
    <col min="7" max="7" width="11" customWidth="1"/>
    <col min="8" max="8" width="13.7109375" customWidth="1"/>
    <col min="9" max="9" width="10.42578125" customWidth="1"/>
    <col min="10" max="10" width="11" customWidth="1"/>
    <col min="11" max="11" width="16.5703125" customWidth="1"/>
    <col min="15" max="15" width="16.7109375" customWidth="1"/>
  </cols>
  <sheetData>
    <row r="1" spans="1:15" hidden="1" x14ac:dyDescent="0.2">
      <c r="A1" t="s">
        <v>70</v>
      </c>
      <c r="B1">
        <f>Calculations!B34</f>
        <v>48</v>
      </c>
      <c r="D1" t="s">
        <v>73</v>
      </c>
      <c r="E1" s="4">
        <f ca="1">Calculations!B119</f>
        <v>1.2950290899225272E-5</v>
      </c>
      <c r="G1" t="s">
        <v>76</v>
      </c>
      <c r="H1" s="32">
        <f>Calculations!B42</f>
        <v>200000</v>
      </c>
    </row>
    <row r="2" spans="1:15" hidden="1" x14ac:dyDescent="0.2">
      <c r="A2" t="s">
        <v>15</v>
      </c>
      <c r="B2">
        <f>Calculations!B36</f>
        <v>5</v>
      </c>
      <c r="D2" t="s">
        <v>74</v>
      </c>
      <c r="E2">
        <f>Calculations!B143/1000000</f>
        <v>1.3999999999999999E-4</v>
      </c>
      <c r="G2" t="s">
        <v>77</v>
      </c>
      <c r="H2" s="32">
        <v>2.3999999999999998E-3</v>
      </c>
    </row>
    <row r="3" spans="1:15" hidden="1" x14ac:dyDescent="0.2">
      <c r="A3" t="s">
        <v>71</v>
      </c>
      <c r="B3">
        <v>2</v>
      </c>
      <c r="D3" t="s">
        <v>75</v>
      </c>
      <c r="E3">
        <f>Calculations!B144/1000</f>
        <v>3.0000000000000001E-3</v>
      </c>
      <c r="G3" t="s">
        <v>78</v>
      </c>
      <c r="H3">
        <f>PI()/3</f>
        <v>1.0471975511965976</v>
      </c>
    </row>
    <row r="4" spans="1:15" hidden="1" x14ac:dyDescent="0.2">
      <c r="A4" t="s">
        <v>72</v>
      </c>
      <c r="B4">
        <v>1.25</v>
      </c>
    </row>
    <row r="5" spans="1:15" hidden="1" x14ac:dyDescent="0.2"/>
    <row r="6" spans="1:15" ht="18" x14ac:dyDescent="0.25">
      <c r="A6" s="5" t="s">
        <v>137</v>
      </c>
    </row>
    <row r="7" spans="1:15" ht="18" x14ac:dyDescent="0.25">
      <c r="A7" s="5"/>
    </row>
    <row r="8" spans="1:15" x14ac:dyDescent="0.2">
      <c r="A8" s="8" t="s">
        <v>99</v>
      </c>
    </row>
    <row r="9" spans="1:15" hidden="1" x14ac:dyDescent="0.2">
      <c r="A9" s="8"/>
    </row>
    <row r="10" spans="1:15" x14ac:dyDescent="0.2">
      <c r="A10" s="8"/>
      <c r="C10" t="s">
        <v>20</v>
      </c>
    </row>
    <row r="11" spans="1:15" x14ac:dyDescent="0.2">
      <c r="A11" s="18" t="s">
        <v>79</v>
      </c>
      <c r="B11" s="41">
        <f>B12/1000</f>
        <v>378.94034069498895</v>
      </c>
      <c r="C11" s="18" t="s">
        <v>64</v>
      </c>
    </row>
    <row r="12" spans="1:15" hidden="1" x14ac:dyDescent="0.2">
      <c r="A12" s="35" t="s">
        <v>79</v>
      </c>
      <c r="B12" s="33">
        <f>1/(2*PI()*E3*E2)</f>
        <v>378940.34069498896</v>
      </c>
      <c r="C12" s="18"/>
    </row>
    <row r="13" spans="1:15" x14ac:dyDescent="0.2">
      <c r="A13" s="18" t="s">
        <v>81</v>
      </c>
      <c r="B13" s="41">
        <f ca="1">B14/1000</f>
        <v>3.7378025141839064</v>
      </c>
      <c r="C13" s="18" t="s">
        <v>64</v>
      </c>
    </row>
    <row r="14" spans="1:15" hidden="1" x14ac:dyDescent="0.2">
      <c r="A14" s="35" t="s">
        <v>81</v>
      </c>
      <c r="B14" s="43">
        <f ca="1">1/(2*PI()*SQRT(E1*E2))</f>
        <v>3737.8025141839066</v>
      </c>
      <c r="C14" s="18"/>
      <c r="O14" s="3"/>
    </row>
    <row r="15" spans="1:15" x14ac:dyDescent="0.2">
      <c r="A15" s="18" t="s">
        <v>80</v>
      </c>
      <c r="B15" s="41">
        <f>B16/1000</f>
        <v>20</v>
      </c>
      <c r="C15" s="18" t="s">
        <v>64</v>
      </c>
      <c r="O15" s="3"/>
    </row>
    <row r="16" spans="1:15" hidden="1" x14ac:dyDescent="0.2">
      <c r="A16" s="35" t="s">
        <v>80</v>
      </c>
      <c r="B16" s="36">
        <f>H1/10</f>
        <v>20000</v>
      </c>
      <c r="C16" s="18"/>
      <c r="O16" s="3"/>
    </row>
    <row r="17" spans="1:15" x14ac:dyDescent="0.2">
      <c r="B17" s="4"/>
      <c r="O17" s="3"/>
    </row>
    <row r="18" spans="1:15" x14ac:dyDescent="0.2">
      <c r="A18" s="152" t="str">
        <f ca="1">IF(AND((H1/2&lt;B12),(H1/2&gt;B16),(B16&gt;B14)),"This is sufficient compensation","This type of compensation is not sufficient !!!! Use another.")</f>
        <v>This is sufficient compensation</v>
      </c>
      <c r="B18" s="152"/>
      <c r="C18" s="152"/>
      <c r="D18" s="152"/>
      <c r="E18" s="152"/>
      <c r="F18" s="152"/>
      <c r="O18" s="3"/>
    </row>
    <row r="19" spans="1:15" hidden="1" x14ac:dyDescent="0.2">
      <c r="B19" s="38">
        <f ca="1">IF(AND((H1/2&lt;B12),(H1/2&gt;B16),(B16&gt;B14)),1,0)</f>
        <v>1</v>
      </c>
      <c r="O19" s="3"/>
    </row>
    <row r="20" spans="1:15" x14ac:dyDescent="0.2">
      <c r="O20" s="3"/>
    </row>
    <row r="21" spans="1:15" x14ac:dyDescent="0.2">
      <c r="A21" s="8" t="s">
        <v>100</v>
      </c>
      <c r="O21" s="3"/>
    </row>
    <row r="22" spans="1:15" hidden="1" x14ac:dyDescent="0.2">
      <c r="A22" s="8"/>
      <c r="O22" s="3"/>
    </row>
    <row r="23" spans="1:15" x14ac:dyDescent="0.2">
      <c r="C23" t="s">
        <v>20</v>
      </c>
      <c r="O23" s="3"/>
    </row>
    <row r="24" spans="1:15" x14ac:dyDescent="0.2">
      <c r="A24" s="18" t="s">
        <v>84</v>
      </c>
      <c r="B24" s="41">
        <f>B25/1000</f>
        <v>37.320508075688764</v>
      </c>
      <c r="C24" s="18" t="s">
        <v>64</v>
      </c>
      <c r="O24" s="3"/>
    </row>
    <row r="25" spans="1:15" hidden="1" x14ac:dyDescent="0.2">
      <c r="A25" s="35" t="s">
        <v>84</v>
      </c>
      <c r="B25" s="33">
        <f>0.5*B27</f>
        <v>37320.508075688762</v>
      </c>
      <c r="C25" s="18"/>
      <c r="O25" s="3"/>
    </row>
    <row r="26" spans="1:15" x14ac:dyDescent="0.2">
      <c r="A26" s="18" t="s">
        <v>83</v>
      </c>
      <c r="B26" s="41">
        <f>B27/1000</f>
        <v>74.641016151377528</v>
      </c>
      <c r="C26" s="18" t="s">
        <v>64</v>
      </c>
      <c r="O26" s="3"/>
    </row>
    <row r="27" spans="1:15" hidden="1" x14ac:dyDescent="0.2">
      <c r="A27" s="35" t="s">
        <v>83</v>
      </c>
      <c r="B27" s="33">
        <f>B16*SQRT((1+SIN(H3))/(1-SIN(H3)))</f>
        <v>74641.016151377524</v>
      </c>
      <c r="C27" s="18"/>
      <c r="O27" s="3"/>
    </row>
    <row r="28" spans="1:15" x14ac:dyDescent="0.2">
      <c r="A28" s="18" t="s">
        <v>85</v>
      </c>
      <c r="B28" s="41">
        <f>B29/1000</f>
        <v>100</v>
      </c>
      <c r="C28" s="18" t="s">
        <v>64</v>
      </c>
      <c r="O28" s="3"/>
    </row>
    <row r="29" spans="1:15" hidden="1" x14ac:dyDescent="0.2">
      <c r="A29" s="35" t="s">
        <v>85</v>
      </c>
      <c r="B29" s="44">
        <f>H1/2</f>
        <v>100000</v>
      </c>
      <c r="C29" s="18"/>
      <c r="O29" s="3"/>
    </row>
    <row r="30" spans="1:15" x14ac:dyDescent="0.2">
      <c r="A30" s="18" t="s">
        <v>101</v>
      </c>
      <c r="B30" s="41">
        <f>B31/1000</f>
        <v>2.6794919243112276</v>
      </c>
      <c r="C30" s="18" t="s">
        <v>64</v>
      </c>
      <c r="O30" s="3"/>
    </row>
    <row r="31" spans="1:15" hidden="1" x14ac:dyDescent="0.2">
      <c r="A31" s="35" t="s">
        <v>101</v>
      </c>
      <c r="B31" s="33">
        <f>0.5*B33</f>
        <v>2679.4919243112276</v>
      </c>
      <c r="C31" s="18"/>
    </row>
    <row r="32" spans="1:15" x14ac:dyDescent="0.2">
      <c r="A32" s="18" t="s">
        <v>82</v>
      </c>
      <c r="B32" s="41">
        <f>B33/1000</f>
        <v>5.3589838486224552</v>
      </c>
      <c r="C32" s="18" t="s">
        <v>64</v>
      </c>
    </row>
    <row r="33" spans="1:7" hidden="1" x14ac:dyDescent="0.2">
      <c r="A33" s="35" t="s">
        <v>82</v>
      </c>
      <c r="B33" s="35">
        <f>B16*SQRT((1-SIN(H3))/(1+SIN(H3)))</f>
        <v>5358.9838486224553</v>
      </c>
      <c r="C33" s="18"/>
    </row>
    <row r="35" spans="1:7" x14ac:dyDescent="0.2">
      <c r="A35" s="8" t="s">
        <v>103</v>
      </c>
    </row>
    <row r="36" spans="1:7" hidden="1" x14ac:dyDescent="0.2"/>
    <row r="37" spans="1:7" x14ac:dyDescent="0.2">
      <c r="C37" t="s">
        <v>20</v>
      </c>
    </row>
    <row r="38" spans="1:7" x14ac:dyDescent="0.2">
      <c r="A38" s="18" t="s">
        <v>86</v>
      </c>
      <c r="B38" s="42">
        <f>2/H2</f>
        <v>833.33333333333337</v>
      </c>
      <c r="C38" s="20" t="s">
        <v>32</v>
      </c>
      <c r="D38" t="s">
        <v>102</v>
      </c>
    </row>
    <row r="39" spans="1:7" x14ac:dyDescent="0.2">
      <c r="A39" s="18" t="s">
        <v>87</v>
      </c>
      <c r="B39" s="34">
        <v>4700</v>
      </c>
      <c r="C39" s="20" t="s">
        <v>32</v>
      </c>
      <c r="D39" s="145" t="str">
        <f>IF(B39&lt;B38,"&lt;-- Set value is smaller than calculated!","&lt;-- Choose value")</f>
        <v>&lt;-- Choose value</v>
      </c>
      <c r="E39" s="146"/>
      <c r="F39" s="146"/>
      <c r="G39" s="146"/>
    </row>
    <row r="40" spans="1:7" x14ac:dyDescent="0.2">
      <c r="A40" s="18" t="s">
        <v>88</v>
      </c>
      <c r="B40" s="41">
        <f>B41*1000000000</f>
        <v>12.637751784993331</v>
      </c>
      <c r="C40" s="18" t="s">
        <v>61</v>
      </c>
    </row>
    <row r="41" spans="1:7" hidden="1" x14ac:dyDescent="0.2">
      <c r="A41" s="35" t="s">
        <v>88</v>
      </c>
      <c r="B41" s="33">
        <f>1/(2*PI()*B31*B39)</f>
        <v>1.263775178499333E-8</v>
      </c>
      <c r="C41" s="18"/>
    </row>
    <row r="42" spans="1:7" x14ac:dyDescent="0.2">
      <c r="A42" s="18" t="s">
        <v>89</v>
      </c>
      <c r="B42" s="41">
        <f>B43*1000000000000</f>
        <v>338.62753849339435</v>
      </c>
      <c r="C42" s="18" t="s">
        <v>104</v>
      </c>
    </row>
    <row r="43" spans="1:7" hidden="1" x14ac:dyDescent="0.2">
      <c r="A43" s="35" t="s">
        <v>89</v>
      </c>
      <c r="B43" s="36">
        <f>1/(2*PI()*B29*B39)</f>
        <v>3.3862753849339438E-10</v>
      </c>
      <c r="C43" s="18"/>
    </row>
    <row r="45" spans="1:7" x14ac:dyDescent="0.2">
      <c r="A45" s="8" t="s">
        <v>105</v>
      </c>
    </row>
    <row r="46" spans="1:7" hidden="1" x14ac:dyDescent="0.2"/>
    <row r="47" spans="1:7" x14ac:dyDescent="0.2">
      <c r="C47" t="s">
        <v>20</v>
      </c>
    </row>
    <row r="48" spans="1:7" x14ac:dyDescent="0.2">
      <c r="A48" s="18" t="s">
        <v>92</v>
      </c>
      <c r="B48" s="41">
        <f ca="1">B49/1000</f>
        <v>13.648107512312013</v>
      </c>
      <c r="C48" s="18" t="s">
        <v>47</v>
      </c>
    </row>
    <row r="49" spans="1:9" hidden="1" x14ac:dyDescent="0.2">
      <c r="A49" s="35" t="s">
        <v>92</v>
      </c>
      <c r="B49" s="33">
        <f ca="1">1/(2*PI()*B64*B33)-B66</f>
        <v>13648.107512312014</v>
      </c>
      <c r="C49" s="18"/>
    </row>
    <row r="50" spans="1:9" x14ac:dyDescent="0.2">
      <c r="A50" s="18" t="s">
        <v>58</v>
      </c>
      <c r="B50" s="41">
        <f ca="1">B51/1000</f>
        <v>4.5493691707706709</v>
      </c>
      <c r="C50" s="18" t="s">
        <v>47</v>
      </c>
    </row>
    <row r="51" spans="1:9" hidden="1" x14ac:dyDescent="0.2">
      <c r="A51" s="35" t="s">
        <v>58</v>
      </c>
      <c r="B51" s="35">
        <f ca="1">B4/(B2-B4)*B49</f>
        <v>4549.3691707706712</v>
      </c>
      <c r="C51" s="18"/>
      <c r="I51" s="4"/>
    </row>
    <row r="53" spans="1:9" x14ac:dyDescent="0.2">
      <c r="A53" s="8" t="s">
        <v>110</v>
      </c>
    </row>
    <row r="54" spans="1:9" hidden="1" x14ac:dyDescent="0.2"/>
    <row r="55" spans="1:9" x14ac:dyDescent="0.2">
      <c r="C55" t="s">
        <v>20</v>
      </c>
    </row>
    <row r="56" spans="1:9" x14ac:dyDescent="0.2">
      <c r="A56" s="18" t="s">
        <v>92</v>
      </c>
      <c r="B56" s="34">
        <v>16.899999999999999</v>
      </c>
      <c r="C56" s="18" t="s">
        <v>47</v>
      </c>
      <c r="D56" t="s">
        <v>108</v>
      </c>
    </row>
    <row r="57" spans="1:9" x14ac:dyDescent="0.2">
      <c r="A57" s="18" t="s">
        <v>58</v>
      </c>
      <c r="B57" s="34">
        <v>5.6</v>
      </c>
      <c r="C57" s="18" t="s">
        <v>47</v>
      </c>
      <c r="D57" t="s">
        <v>112</v>
      </c>
    </row>
    <row r="58" spans="1:9" x14ac:dyDescent="0.2">
      <c r="A58" s="18" t="s">
        <v>15</v>
      </c>
      <c r="B58" s="41">
        <f>1.25/(B57/(B57+B56))</f>
        <v>5.0223214285714288</v>
      </c>
      <c r="C58" s="18" t="s">
        <v>0</v>
      </c>
    </row>
    <row r="60" spans="1:9" x14ac:dyDescent="0.2">
      <c r="A60" s="8" t="s">
        <v>111</v>
      </c>
    </row>
    <row r="61" spans="1:9" hidden="1" x14ac:dyDescent="0.2"/>
    <row r="62" spans="1:9" x14ac:dyDescent="0.2">
      <c r="C62" t="s">
        <v>20</v>
      </c>
    </row>
    <row r="63" spans="1:9" x14ac:dyDescent="0.2">
      <c r="A63" s="18" t="s">
        <v>117</v>
      </c>
      <c r="B63" s="41">
        <f ca="1">B64*1000000000000</f>
        <v>2019.7997961418307</v>
      </c>
      <c r="C63" s="18" t="s">
        <v>104</v>
      </c>
    </row>
    <row r="64" spans="1:9" hidden="1" x14ac:dyDescent="0.2">
      <c r="A64" s="35" t="s">
        <v>90</v>
      </c>
      <c r="B64" s="33">
        <f ca="1">(2*PI()*B16*E1*E2)/B39*B3/B1</f>
        <v>2.0197997961418306E-9</v>
      </c>
      <c r="C64" s="18"/>
    </row>
    <row r="65" spans="1:5" x14ac:dyDescent="0.2">
      <c r="A65" s="18" t="s">
        <v>91</v>
      </c>
      <c r="B65" s="41">
        <f ca="1">B66/1000</f>
        <v>1.0556847900062885</v>
      </c>
      <c r="C65" s="18" t="s">
        <v>47</v>
      </c>
    </row>
    <row r="66" spans="1:5" hidden="1" x14ac:dyDescent="0.2">
      <c r="A66" s="35" t="s">
        <v>91</v>
      </c>
      <c r="B66" s="35">
        <f ca="1">1/(2*PI()*B64*B27)</f>
        <v>1055.6847900062885</v>
      </c>
      <c r="C66" s="18"/>
    </row>
    <row r="68" spans="1:5" x14ac:dyDescent="0.2">
      <c r="A68" s="8" t="s">
        <v>113</v>
      </c>
    </row>
    <row r="70" spans="1:5" x14ac:dyDescent="0.2">
      <c r="A70" s="18" t="s">
        <v>106</v>
      </c>
      <c r="B70" s="157" t="str">
        <f ca="1">IF(AND((H1/2&lt;B12),(H1/2&gt;B16),(B16&gt;B14)),IF(1/(1/B66+1/B49+1/B51)&gt;1/H2,"OK","Increase R3 resistor value!!!"),"ERROR")</f>
        <v>OK</v>
      </c>
      <c r="C70" s="157"/>
      <c r="D70" s="157"/>
      <c r="E70" t="s">
        <v>134</v>
      </c>
    </row>
  </sheetData>
  <mergeCells count="3">
    <mergeCell ref="A18:F18"/>
    <mergeCell ref="D39:G39"/>
    <mergeCell ref="B70:D70"/>
  </mergeCells>
  <phoneticPr fontId="10" type="noConversion"/>
  <conditionalFormatting sqref="A18:B18">
    <cfRule type="expression" dxfId="7" priority="3" stopIfTrue="1">
      <formula>NOT(AND((H1/2&lt;B12),(H1/2&gt;B16),(B16&gt;B14)))</formula>
    </cfRule>
  </conditionalFormatting>
  <conditionalFormatting sqref="B70:D70">
    <cfRule type="expression" dxfId="6" priority="5" stopIfTrue="1">
      <formula>NOT(AND((H1/2&lt;B12),(H1/2&gt;B16),(B16&gt;B14),1/(1/B66+1/B49+1/B51)&gt;1/H2))</formula>
    </cfRule>
  </conditionalFormatting>
  <conditionalFormatting sqref="C18">
    <cfRule type="expression" dxfId="5" priority="1" stopIfTrue="1">
      <formula>NOT(AND((J1/2&lt;D12),(J1/2&gt;D14),(D14&gt;D16)))</formula>
    </cfRule>
  </conditionalFormatting>
  <conditionalFormatting sqref="D39">
    <cfRule type="expression" dxfId="4" priority="4" stopIfTrue="1">
      <formula>B39&lt;B38</formula>
    </cfRule>
  </conditionalFormatting>
  <conditionalFormatting sqref="D18:E18">
    <cfRule type="expression" dxfId="3" priority="2" stopIfTrue="1">
      <formula>NOT(AND((K1/2&lt;E12),(K1/2&gt;#REF!),(#REF!&gt;E16)))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2E4C-298A-4431-BC36-CE69233D3AA7}">
  <sheetPr codeName="Sheet7">
    <pageSetUpPr fitToPage="1"/>
  </sheetPr>
  <dimension ref="A1:J40"/>
  <sheetViews>
    <sheetView showGridLines="0" zoomScaleNormal="100" workbookViewId="0"/>
  </sheetViews>
  <sheetFormatPr defaultRowHeight="12.75" x14ac:dyDescent="0.2"/>
  <cols>
    <col min="1" max="1" width="13.28515625" customWidth="1"/>
    <col min="2" max="2" width="12.5703125" customWidth="1"/>
  </cols>
  <sheetData>
    <row r="1" spans="1:10" ht="18" x14ac:dyDescent="0.25">
      <c r="A1" s="5" t="s">
        <v>309</v>
      </c>
    </row>
    <row r="4" spans="1:10" x14ac:dyDescent="0.2">
      <c r="A4" s="8" t="s">
        <v>320</v>
      </c>
    </row>
    <row r="5" spans="1:10" x14ac:dyDescent="0.2">
      <c r="A5" s="8"/>
    </row>
    <row r="6" spans="1:10" x14ac:dyDescent="0.2">
      <c r="A6" s="18" t="s">
        <v>310</v>
      </c>
      <c r="B6" s="33">
        <f>Calculations!B32</f>
        <v>60</v>
      </c>
      <c r="C6" s="18" t="s">
        <v>0</v>
      </c>
      <c r="D6" s="145" t="str">
        <f>IF(OR(B6&lt;12,B6&gt;100),"&lt;-- Input voltage is out of range!","&lt;-- Worst Case Input Voltage (Vin max)")</f>
        <v>&lt;-- Worst Case Input Voltage (Vin max)</v>
      </c>
      <c r="E6" s="146"/>
      <c r="F6" s="146"/>
      <c r="G6" s="146"/>
      <c r="H6" s="14"/>
      <c r="I6" s="10" t="s">
        <v>121</v>
      </c>
      <c r="J6" s="51"/>
    </row>
    <row r="7" spans="1:10" x14ac:dyDescent="0.2">
      <c r="A7" s="13" t="s">
        <v>311</v>
      </c>
      <c r="B7" s="125">
        <f>Calculations!B33</f>
        <v>38</v>
      </c>
      <c r="C7" s="13" t="s">
        <v>0</v>
      </c>
      <c r="D7" s="145" t="str">
        <f>IF(OR(B7&lt;12,B7&gt;100),"&lt;-- Input voltage is out of range!",IF(B7&gt;B6,"&lt;-- VINmax must be higher than VINmin","&lt;-- Worst Case Input Voltage (Vin min)"))</f>
        <v>&lt;-- Worst Case Input Voltage (Vin min)</v>
      </c>
      <c r="E7" s="146"/>
      <c r="F7" s="146"/>
      <c r="G7" s="146"/>
      <c r="H7" s="14"/>
      <c r="I7" s="10" t="s">
        <v>121</v>
      </c>
      <c r="J7" s="51"/>
    </row>
    <row r="8" spans="1:10" x14ac:dyDescent="0.2">
      <c r="A8" s="13" t="s">
        <v>172</v>
      </c>
      <c r="B8" s="125">
        <f>Calculations!B35</f>
        <v>12</v>
      </c>
      <c r="C8" s="13" t="s">
        <v>0</v>
      </c>
      <c r="D8" s="145" t="str">
        <f>IF(OR(B8&lt;10,B8&gt;18),"&lt;-- Supply voltage is out of range!","&lt;-- Supply voltage from Basic list")</f>
        <v>&lt;-- Supply voltage from Basic list</v>
      </c>
      <c r="E8" s="146"/>
      <c r="F8" s="146"/>
      <c r="G8" s="146"/>
      <c r="H8" s="14"/>
      <c r="I8" s="10"/>
      <c r="J8" s="51"/>
    </row>
    <row r="11" spans="1:10" x14ac:dyDescent="0.2">
      <c r="A11" s="8" t="s">
        <v>319</v>
      </c>
    </row>
    <row r="13" spans="1:10" x14ac:dyDescent="0.2">
      <c r="A13" s="18" t="s">
        <v>332</v>
      </c>
      <c r="B13" s="33">
        <f>B8</f>
        <v>12</v>
      </c>
      <c r="C13" s="18" t="s">
        <v>0</v>
      </c>
      <c r="D13" t="s">
        <v>348</v>
      </c>
    </row>
    <row r="14" spans="1:10" x14ac:dyDescent="0.2">
      <c r="A14" s="18" t="s">
        <v>331</v>
      </c>
      <c r="B14" s="34">
        <v>0.05</v>
      </c>
      <c r="C14" s="18" t="s">
        <v>126</v>
      </c>
      <c r="D14" t="s">
        <v>337</v>
      </c>
    </row>
    <row r="15" spans="1:10" x14ac:dyDescent="0.2">
      <c r="A15" s="18" t="s">
        <v>321</v>
      </c>
      <c r="B15" s="34">
        <v>500</v>
      </c>
      <c r="C15" s="18" t="s">
        <v>322</v>
      </c>
      <c r="D15" t="s">
        <v>338</v>
      </c>
    </row>
    <row r="18" spans="1:7" x14ac:dyDescent="0.2">
      <c r="A18" s="8" t="s">
        <v>324</v>
      </c>
    </row>
    <row r="20" spans="1:7" x14ac:dyDescent="0.2">
      <c r="A20" s="18" t="s">
        <v>325</v>
      </c>
      <c r="B20" s="33">
        <v>2.5</v>
      </c>
      <c r="C20" s="18" t="s">
        <v>126</v>
      </c>
      <c r="D20" t="s">
        <v>339</v>
      </c>
    </row>
    <row r="21" spans="1:7" x14ac:dyDescent="0.2">
      <c r="A21" s="18" t="s">
        <v>326</v>
      </c>
      <c r="B21" s="126">
        <f ca="1">Calculations!B195/'Linear VCC regulator'!B13*1000+Calculations!B196/B13*1000+2.5</f>
        <v>8.7200000000000006</v>
      </c>
      <c r="C21" s="18" t="s">
        <v>126</v>
      </c>
      <c r="D21" t="s">
        <v>340</v>
      </c>
    </row>
    <row r="23" spans="1:7" x14ac:dyDescent="0.2">
      <c r="A23" s="8" t="s">
        <v>328</v>
      </c>
    </row>
    <row r="25" spans="1:7" x14ac:dyDescent="0.2">
      <c r="A25" s="18" t="s">
        <v>323</v>
      </c>
      <c r="B25" s="42">
        <f ca="1">(B7-B8)/(B21*0.001)</f>
        <v>2981.6513761467891</v>
      </c>
      <c r="C25" s="20" t="s">
        <v>32</v>
      </c>
      <c r="D25" t="s">
        <v>341</v>
      </c>
    </row>
    <row r="26" spans="1:7" x14ac:dyDescent="0.2">
      <c r="A26" s="18" t="s">
        <v>323</v>
      </c>
      <c r="B26" s="34">
        <v>2700</v>
      </c>
      <c r="C26" s="20" t="s">
        <v>32</v>
      </c>
      <c r="D26" t="s">
        <v>342</v>
      </c>
    </row>
    <row r="27" spans="1:7" x14ac:dyDescent="0.2">
      <c r="A27" s="18" t="s">
        <v>327</v>
      </c>
      <c r="B27" s="42">
        <f ca="1">(B6-B8)*B21</f>
        <v>418.56000000000006</v>
      </c>
      <c r="C27" s="18" t="s">
        <v>322</v>
      </c>
      <c r="D27" t="s">
        <v>343</v>
      </c>
    </row>
    <row r="28" spans="1:7" x14ac:dyDescent="0.2">
      <c r="A28" s="18" t="s">
        <v>321</v>
      </c>
      <c r="B28" s="42">
        <f>((B6-B8)/B26-B20/1000)*B13*1000</f>
        <v>183.33333333333331</v>
      </c>
      <c r="C28" s="18" t="s">
        <v>322</v>
      </c>
      <c r="D28" t="s">
        <v>344</v>
      </c>
    </row>
    <row r="29" spans="1:7" ht="13.5" thickBot="1" x14ac:dyDescent="0.25"/>
    <row r="30" spans="1:7" ht="13.5" thickBot="1" x14ac:dyDescent="0.25">
      <c r="A30" s="158" t="str">
        <f>IF(B28&lt;B15,"Shunt voltage regulator with Zener diode could be used","!!!Use more power zener diode or add transistor as is shown below!!!")</f>
        <v>Shunt voltage regulator with Zener diode could be used</v>
      </c>
      <c r="B30" s="159"/>
      <c r="C30" s="159"/>
      <c r="D30" s="159"/>
      <c r="E30" s="159"/>
      <c r="F30" s="159"/>
      <c r="G30" s="160"/>
    </row>
    <row r="33" spans="1:4" x14ac:dyDescent="0.2">
      <c r="A33" s="8" t="s">
        <v>334</v>
      </c>
    </row>
    <row r="35" spans="1:4" x14ac:dyDescent="0.2">
      <c r="A35" s="20" t="s">
        <v>329</v>
      </c>
      <c r="B35" s="34">
        <v>25</v>
      </c>
      <c r="C35" s="18" t="s">
        <v>330</v>
      </c>
      <c r="D35" t="s">
        <v>345</v>
      </c>
    </row>
    <row r="36" spans="1:4" x14ac:dyDescent="0.2">
      <c r="A36" s="18" t="s">
        <v>323</v>
      </c>
      <c r="B36" s="42">
        <f ca="1">(B7-B8)/(B14+B21/B35)</f>
        <v>65.195586760280847</v>
      </c>
      <c r="C36" s="18" t="s">
        <v>47</v>
      </c>
      <c r="D36" t="s">
        <v>341</v>
      </c>
    </row>
    <row r="37" spans="1:4" x14ac:dyDescent="0.2">
      <c r="A37" s="18" t="s">
        <v>323</v>
      </c>
      <c r="B37" s="34">
        <v>10</v>
      </c>
      <c r="C37" s="18" t="s">
        <v>47</v>
      </c>
      <c r="D37" t="s">
        <v>342</v>
      </c>
    </row>
    <row r="38" spans="1:4" x14ac:dyDescent="0.2">
      <c r="A38" s="18" t="s">
        <v>327</v>
      </c>
      <c r="B38" s="42">
        <f ca="1">(B6-B8)*(B14+B21/B35)</f>
        <v>19.142399999999999</v>
      </c>
      <c r="C38" s="18" t="s">
        <v>322</v>
      </c>
      <c r="D38" t="s">
        <v>343</v>
      </c>
    </row>
    <row r="39" spans="1:4" x14ac:dyDescent="0.2">
      <c r="A39" s="18" t="s">
        <v>321</v>
      </c>
      <c r="B39" s="42">
        <f>((B6-B8)/(B37*1000)-B20/(B35*1000))*B13*1000</f>
        <v>56.399999999999991</v>
      </c>
      <c r="C39" s="18" t="s">
        <v>322</v>
      </c>
      <c r="D39" t="s">
        <v>344</v>
      </c>
    </row>
    <row r="40" spans="1:4" x14ac:dyDescent="0.2">
      <c r="A40" s="18" t="s">
        <v>333</v>
      </c>
      <c r="B40" s="42">
        <f ca="1">(B6-B8)*B21</f>
        <v>418.56000000000006</v>
      </c>
      <c r="C40" s="18" t="s">
        <v>322</v>
      </c>
      <c r="D40" t="s">
        <v>346</v>
      </c>
    </row>
  </sheetData>
  <mergeCells count="4">
    <mergeCell ref="D7:G7"/>
    <mergeCell ref="D8:G8"/>
    <mergeCell ref="D6:G6"/>
    <mergeCell ref="A30:G30"/>
  </mergeCells>
  <phoneticPr fontId="10" type="noConversion"/>
  <conditionalFormatting sqref="A30:G30">
    <cfRule type="expression" dxfId="2" priority="4" stopIfTrue="1">
      <formula>(B28&gt;B15)</formula>
    </cfRule>
  </conditionalFormatting>
  <conditionalFormatting sqref="D8">
    <cfRule type="expression" priority="2" stopIfTrue="1">
      <formula>OR(XFD8&lt;10,XFD8&gt;18)</formula>
    </cfRule>
  </conditionalFormatting>
  <conditionalFormatting sqref="D6:G6">
    <cfRule type="expression" dxfId="1" priority="1" stopIfTrue="1">
      <formula>OR(B6&lt;12,B6&gt;100)</formula>
    </cfRule>
  </conditionalFormatting>
  <conditionalFormatting sqref="D7:G7">
    <cfRule type="expression" dxfId="0" priority="3" stopIfTrue="1">
      <formula>OR(OR(B7&lt;12,B7&gt;100),B7&gt;B6)</formula>
    </cfRule>
  </conditionalFormatting>
  <dataValidations count="2">
    <dataValidation type="decimal" allowBlank="1" showErrorMessage="1" errorTitle="Supply voltage " error="Supply voltage is not in valid range" prompt="_x000a_" sqref="B8" xr:uid="{C32A938D-6E72-4FF7-86F6-F8F637BA881D}">
      <formula1>10</formula1>
      <formula2>18</formula2>
    </dataValidation>
    <dataValidation type="decimal" allowBlank="1" showErrorMessage="1" errorTitle="Input voltage " error="Input voltage is not in valid range" prompt="_x000a_" sqref="B7" xr:uid="{32071100-FE5C-4D2D-A59D-FACB0F290D71}">
      <formula1>12</formula1>
      <formula2>100</formula2>
    </dataValidation>
  </dataValidations>
  <pageMargins left="0.75" right="0.75" top="1" bottom="1" header="0.5" footer="0.5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Intro</vt:lpstr>
      <vt:lpstr>Calculations</vt:lpstr>
      <vt:lpstr>MOSFETs</vt:lpstr>
      <vt:lpstr>Compensation II (PI)</vt:lpstr>
      <vt:lpstr>Compensation III (PID) Method I</vt:lpstr>
      <vt:lpstr>Compensation III (PID) Metod II</vt:lpstr>
      <vt:lpstr>Linear VCC regulator</vt:lpstr>
      <vt:lpstr>FET</vt:lpstr>
      <vt:lpstr>Calculations!Print_Area</vt:lpstr>
    </vt:vector>
  </TitlesOfParts>
  <Company>ON Semiconductor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 Semiconductor</dc:creator>
  <cp:lastModifiedBy>Lukas Lysina</cp:lastModifiedBy>
  <cp:lastPrinted>2008-06-04T15:33:07Z</cp:lastPrinted>
  <dcterms:created xsi:type="dcterms:W3CDTF">2007-07-10T13:28:43Z</dcterms:created>
  <dcterms:modified xsi:type="dcterms:W3CDTF">2026-07-02T16:24:33Z</dcterms:modified>
</cp:coreProperties>
</file>